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https://hirosakiuniversity-my.sharepoint.com/personal/ytatara_hirosaki-u_ac_jp/Documents/共通機器センター/受託　質量分析/精算/"/>
    </mc:Choice>
  </mc:AlternateContent>
  <xr:revisionPtr revIDLastSave="28" documentId="8_{984F290F-B7F2-49DD-B441-15902D0185B3}" xr6:coauthVersionLast="47" xr6:coauthVersionMax="47" xr10:uidLastSave="{30FB1B8C-1F57-40C1-879B-AB18E3C1D081}"/>
  <bookViews>
    <workbookView xWindow="-120" yWindow="-120" windowWidth="29040" windowHeight="15720" xr2:uid="{00000000-000D-0000-FFFF-FFFF00000000}"/>
  </bookViews>
  <sheets>
    <sheet name="新" sheetId="2" r:id="rId1"/>
    <sheet name="Sheet1"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3" i="2" l="1"/>
  <c r="G14" i="2"/>
  <c r="B2" i="3"/>
  <c r="F3" i="3"/>
  <c r="F4" i="3"/>
  <c r="F5" i="3"/>
  <c r="F6" i="3"/>
  <c r="F7" i="3"/>
  <c r="F8" i="3"/>
  <c r="F9" i="3"/>
  <c r="F10" i="3"/>
  <c r="F11" i="3"/>
  <c r="F12" i="3"/>
  <c r="F13" i="3"/>
  <c r="F14" i="3"/>
  <c r="F15" i="3"/>
  <c r="F16" i="3"/>
  <c r="F17" i="3"/>
  <c r="F18" i="3"/>
  <c r="F19" i="3"/>
  <c r="F20" i="3"/>
  <c r="F21" i="3"/>
  <c r="F22" i="3"/>
  <c r="F23" i="3"/>
  <c r="F24" i="3"/>
  <c r="F25" i="3"/>
  <c r="F2" i="3"/>
  <c r="H5" i="2"/>
  <c r="H6" i="2"/>
  <c r="H7" i="2"/>
  <c r="G6" i="3" s="1"/>
  <c r="H8" i="2"/>
  <c r="H9" i="2"/>
  <c r="H10" i="2"/>
  <c r="G9" i="3" s="1"/>
  <c r="H11" i="2"/>
  <c r="G10" i="3" s="1"/>
  <c r="H12" i="2"/>
  <c r="H13" i="2"/>
  <c r="H14" i="2"/>
  <c r="H15" i="2"/>
  <c r="H16" i="2"/>
  <c r="H17" i="2"/>
  <c r="H18" i="2"/>
  <c r="H19" i="2"/>
  <c r="H20" i="2"/>
  <c r="H21" i="2"/>
  <c r="H22" i="2"/>
  <c r="H23" i="2"/>
  <c r="H24" i="2"/>
  <c r="H25" i="2"/>
  <c r="H26" i="2"/>
  <c r="G25" i="2"/>
  <c r="G26" i="2"/>
  <c r="G24" i="2"/>
  <c r="G23" i="2"/>
  <c r="G22" i="2"/>
  <c r="G21" i="2"/>
  <c r="G20" i="2"/>
  <c r="G19" i="2"/>
  <c r="G18" i="2"/>
  <c r="G17" i="2"/>
  <c r="G16" i="2"/>
  <c r="G15" i="2"/>
  <c r="G9" i="2"/>
  <c r="G12" i="2"/>
  <c r="G6" i="2"/>
  <c r="H4" i="2"/>
  <c r="G5" i="2"/>
  <c r="G4" i="2"/>
  <c r="E2" i="3"/>
  <c r="B3" i="3"/>
  <c r="B4" i="3"/>
  <c r="B5" i="3"/>
  <c r="D26" i="3"/>
  <c r="G7" i="3"/>
  <c r="G2" i="3"/>
  <c r="D3" i="3"/>
  <c r="D4" i="3"/>
  <c r="D5" i="3"/>
  <c r="D6" i="3"/>
  <c r="D7" i="3"/>
  <c r="D8" i="3"/>
  <c r="D9" i="3"/>
  <c r="D10" i="3"/>
  <c r="D11" i="3"/>
  <c r="D12" i="3"/>
  <c r="D13" i="3"/>
  <c r="D14" i="3"/>
  <c r="D15" i="3"/>
  <c r="D16" i="3"/>
  <c r="D17" i="3"/>
  <c r="D18" i="3"/>
  <c r="D19" i="3"/>
  <c r="D20" i="3"/>
  <c r="D21" i="3"/>
  <c r="D22" i="3"/>
  <c r="D23" i="3"/>
  <c r="D24" i="3"/>
  <c r="D25" i="3"/>
  <c r="D2" i="3"/>
  <c r="E26" i="2"/>
  <c r="E25" i="3" s="1"/>
  <c r="G25" i="3" l="1"/>
  <c r="G24" i="3" l="1"/>
  <c r="C6" i="2"/>
  <c r="E6" i="2" s="1"/>
  <c r="C15" i="2"/>
  <c r="C42" i="2"/>
  <c r="C41" i="2"/>
  <c r="C39" i="2"/>
  <c r="C38" i="2"/>
  <c r="C14" i="2"/>
  <c r="C40" i="2"/>
  <c r="C11" i="2"/>
  <c r="G5" i="3" l="1"/>
  <c r="E5" i="3"/>
  <c r="C25" i="2"/>
  <c r="E25" i="2"/>
  <c r="E24" i="3" s="1"/>
  <c r="C24" i="2" l="1"/>
  <c r="E24" i="2" s="1"/>
  <c r="C23" i="2"/>
  <c r="E23" i="2" s="1"/>
  <c r="C22" i="2"/>
  <c r="E22" i="2" s="1"/>
  <c r="C21" i="2"/>
  <c r="C20" i="2"/>
  <c r="C19" i="2"/>
  <c r="E19" i="2" s="1"/>
  <c r="C18" i="2"/>
  <c r="C17" i="2"/>
  <c r="C16" i="2"/>
  <c r="C13" i="2"/>
  <c r="E13" i="2" s="1"/>
  <c r="C12" i="2"/>
  <c r="C10" i="2"/>
  <c r="C9" i="2"/>
  <c r="C5" i="2"/>
  <c r="C4" i="2"/>
  <c r="G12" i="3" l="1"/>
  <c r="E12" i="3"/>
  <c r="G22" i="3"/>
  <c r="E22" i="3"/>
  <c r="G18" i="3"/>
  <c r="E18" i="3"/>
  <c r="G21" i="3"/>
  <c r="E21" i="3"/>
  <c r="G23" i="3"/>
  <c r="E23" i="3"/>
  <c r="E44" i="2"/>
  <c r="H44" i="2" s="1"/>
  <c r="E9" i="2"/>
  <c r="E7" i="2"/>
  <c r="E6" i="3" s="1"/>
  <c r="E4" i="2"/>
  <c r="E43" i="2"/>
  <c r="H43" i="2" s="1"/>
  <c r="E42" i="2"/>
  <c r="H42" i="2" s="1"/>
  <c r="E41" i="2"/>
  <c r="H41" i="2" s="1"/>
  <c r="E40" i="2"/>
  <c r="H40" i="2" s="1"/>
  <c r="E39" i="2"/>
  <c r="H39" i="2" s="1"/>
  <c r="E38" i="2"/>
  <c r="H38" i="2" s="1"/>
  <c r="E37" i="2"/>
  <c r="H37" i="2" s="1"/>
  <c r="E36" i="2"/>
  <c r="H36" i="2" s="1"/>
  <c r="E21" i="2"/>
  <c r="E20" i="2"/>
  <c r="E18" i="2"/>
  <c r="E17" i="2"/>
  <c r="E16" i="2"/>
  <c r="E12" i="2"/>
  <c r="E15" i="2"/>
  <c r="E14" i="2"/>
  <c r="E11" i="2"/>
  <c r="E10" i="3" s="1"/>
  <c r="E10" i="2"/>
  <c r="E9" i="3" s="1"/>
  <c r="E8" i="2"/>
  <c r="E7" i="3" s="1"/>
  <c r="E5" i="2"/>
  <c r="G13" i="3" l="1"/>
  <c r="E13" i="3"/>
  <c r="G14" i="3"/>
  <c r="E14" i="3"/>
  <c r="G11" i="3"/>
  <c r="E11" i="3"/>
  <c r="G8" i="3"/>
  <c r="E8" i="3"/>
  <c r="G15" i="3"/>
  <c r="E15" i="3"/>
  <c r="G4" i="3"/>
  <c r="E4" i="3"/>
  <c r="G16" i="3"/>
  <c r="E16" i="3"/>
  <c r="G19" i="3"/>
  <c r="E19" i="3"/>
  <c r="G20" i="3"/>
  <c r="E20" i="3"/>
  <c r="E3" i="3"/>
  <c r="G3" i="3"/>
  <c r="G17" i="3"/>
  <c r="E17" i="3"/>
  <c r="H51" i="2"/>
  <c r="H33" i="2" l="1"/>
  <c r="G26" i="3" s="1"/>
</calcChain>
</file>

<file path=xl/sharedStrings.xml><?xml version="1.0" encoding="utf-8"?>
<sst xmlns="http://schemas.openxmlformats.org/spreadsheetml/2006/main" count="190" uniqueCount="114">
  <si>
    <t>単位</t>
  </si>
  <si>
    <t>単価（円）</t>
  </si>
  <si>
    <t>100検体まで</t>
  </si>
  <si>
    <t>Trypsin</t>
  </si>
  <si>
    <t>1検体</t>
  </si>
  <si>
    <t>Lys-C</t>
  </si>
  <si>
    <t>V8プロテーゼ</t>
  </si>
  <si>
    <t>Spin Filters</t>
  </si>
  <si>
    <t>1 project</t>
  </si>
  <si>
    <t>バイアル</t>
  </si>
  <si>
    <t>ギ酸</t>
    <rPh sb="1" eb="2">
      <t>サン</t>
    </rPh>
    <phoneticPr fontId="2"/>
  </si>
  <si>
    <t>超純水</t>
    <rPh sb="0" eb="3">
      <t>チョウジュンスイ</t>
    </rPh>
    <phoneticPr fontId="2"/>
  </si>
  <si>
    <t>アセトニトリル</t>
    <phoneticPr fontId="2"/>
  </si>
  <si>
    <t>アセトン</t>
    <phoneticPr fontId="2"/>
  </si>
  <si>
    <t>尿素</t>
    <rPh sb="0" eb="2">
      <t>ニョウソ</t>
    </rPh>
    <phoneticPr fontId="2"/>
  </si>
  <si>
    <t>トリフルオロ酢酸</t>
    <rPh sb="6" eb="8">
      <t>サクサン</t>
    </rPh>
    <phoneticPr fontId="2"/>
  </si>
  <si>
    <t>ELECTODE T</t>
    <phoneticPr fontId="2"/>
  </si>
  <si>
    <t>価格（円）</t>
    <rPh sb="0" eb="2">
      <t>カカク</t>
    </rPh>
    <rPh sb="3" eb="4">
      <t>エン</t>
    </rPh>
    <phoneticPr fontId="2"/>
  </si>
  <si>
    <t>メタノール</t>
    <phoneticPr fontId="2"/>
  </si>
  <si>
    <t>質量分析消耗品コスト試算</t>
    <phoneticPr fontId="2"/>
  </si>
  <si>
    <t>一回あたりの使用量や個数，考え方</t>
    <rPh sb="0" eb="2">
      <t>イッカイ</t>
    </rPh>
    <rPh sb="6" eb="9">
      <t>シヨウリョウ</t>
    </rPh>
    <rPh sb="10" eb="12">
      <t>コスウ</t>
    </rPh>
    <rPh sb="13" eb="14">
      <t>カンガ</t>
    </rPh>
    <rPh sb="15" eb="16">
      <t>カタ</t>
    </rPh>
    <phoneticPr fontId="2"/>
  </si>
  <si>
    <t>96本のAmicon Ultra入りで販売されている。1検体あたり1本使用する。</t>
    <rPh sb="2" eb="3">
      <t>ホン</t>
    </rPh>
    <rPh sb="16" eb="17">
      <t>イ</t>
    </rPh>
    <rPh sb="19" eb="21">
      <t>ハンバイ</t>
    </rPh>
    <rPh sb="28" eb="30">
      <t>ケンタイ</t>
    </rPh>
    <rPh sb="34" eb="35">
      <t>ホン</t>
    </rPh>
    <rPh sb="35" eb="37">
      <t>シヨウ</t>
    </rPh>
    <phoneticPr fontId="2"/>
  </si>
  <si>
    <t>プロジェクト開始時にデータ品質管理のため機器をチューニングする。1本のTuning Solutionで約100回分チューニングできる。</t>
    <rPh sb="6" eb="8">
      <t>カイシ</t>
    </rPh>
    <rPh sb="8" eb="9">
      <t>ジ</t>
    </rPh>
    <rPh sb="13" eb="15">
      <t>ヒンシツ</t>
    </rPh>
    <rPh sb="15" eb="17">
      <t>カンリ</t>
    </rPh>
    <rPh sb="20" eb="22">
      <t>キキ</t>
    </rPh>
    <rPh sb="33" eb="34">
      <t>ホン</t>
    </rPh>
    <rPh sb="51" eb="52">
      <t>ヤク</t>
    </rPh>
    <rPh sb="55" eb="57">
      <t>カイブン</t>
    </rPh>
    <phoneticPr fontId="2"/>
  </si>
  <si>
    <t>β-ガラクトシダーゼ</t>
    <phoneticPr fontId="2"/>
  </si>
  <si>
    <t>プロジェクト開始時にデータ品質管理のためコントロール解析として使用する。1本で約60回分解析できる。</t>
    <rPh sb="6" eb="8">
      <t>カイシ</t>
    </rPh>
    <rPh sb="8" eb="9">
      <t>ジ</t>
    </rPh>
    <rPh sb="13" eb="15">
      <t>ヒンシツ</t>
    </rPh>
    <rPh sb="15" eb="17">
      <t>カンリ</t>
    </rPh>
    <rPh sb="26" eb="28">
      <t>カイセキ</t>
    </rPh>
    <rPh sb="31" eb="33">
      <t>シヨウ</t>
    </rPh>
    <rPh sb="37" eb="38">
      <t>ホン</t>
    </rPh>
    <rPh sb="39" eb="40">
      <t>ヤク</t>
    </rPh>
    <rPh sb="42" eb="44">
      <t>カイブン</t>
    </rPh>
    <rPh sb="44" eb="46">
      <t>カイセキ</t>
    </rPh>
    <phoneticPr fontId="2"/>
  </si>
  <si>
    <t>一本あたり100検体分の処理ができる量のIAAが入っている。30本入りで販売されている。用事調製の試薬であるため1検体でも一本を使用する。</t>
    <rPh sb="0" eb="2">
      <t>イッポン</t>
    </rPh>
    <rPh sb="8" eb="10">
      <t>ケンタイ</t>
    </rPh>
    <rPh sb="10" eb="11">
      <t>ブン</t>
    </rPh>
    <rPh sb="12" eb="14">
      <t>ショリ</t>
    </rPh>
    <rPh sb="18" eb="19">
      <t>リョウ</t>
    </rPh>
    <rPh sb="24" eb="25">
      <t>ハイ</t>
    </rPh>
    <rPh sb="32" eb="33">
      <t>ホン</t>
    </rPh>
    <rPh sb="33" eb="34">
      <t>イ</t>
    </rPh>
    <rPh sb="36" eb="38">
      <t>ハンバイ</t>
    </rPh>
    <rPh sb="44" eb="46">
      <t>ヨウジ</t>
    </rPh>
    <rPh sb="46" eb="48">
      <t>チョウセイ</t>
    </rPh>
    <rPh sb="49" eb="51">
      <t>シヤク</t>
    </rPh>
    <rPh sb="57" eb="59">
      <t>ケンタイ</t>
    </rPh>
    <rPh sb="61" eb="63">
      <t>イッポン</t>
    </rPh>
    <rPh sb="64" eb="66">
      <t>シヨウ</t>
    </rPh>
    <phoneticPr fontId="2"/>
  </si>
  <si>
    <t>一本あたり約15検体分の処理ができる量のTrypsinが入っている。10本入りで販売されている。</t>
    <rPh sb="0" eb="2">
      <t>イッポン</t>
    </rPh>
    <rPh sb="5" eb="6">
      <t>ヤク</t>
    </rPh>
    <rPh sb="8" eb="10">
      <t>ケンタイ</t>
    </rPh>
    <rPh sb="10" eb="11">
      <t>ブン</t>
    </rPh>
    <rPh sb="12" eb="14">
      <t>ショリ</t>
    </rPh>
    <rPh sb="18" eb="19">
      <t>リョウ</t>
    </rPh>
    <rPh sb="28" eb="29">
      <t>ハイ</t>
    </rPh>
    <rPh sb="36" eb="37">
      <t>ホン</t>
    </rPh>
    <rPh sb="37" eb="38">
      <t>イ</t>
    </rPh>
    <rPh sb="40" eb="42">
      <t>ハンバイ</t>
    </rPh>
    <phoneticPr fontId="2"/>
  </si>
  <si>
    <t>一本あたり約10検体分の処理ができる量のV8プロテアーゼが入っている。5本入りで販売されている。</t>
    <rPh sb="0" eb="2">
      <t>イッポン</t>
    </rPh>
    <rPh sb="5" eb="6">
      <t>ヤク</t>
    </rPh>
    <rPh sb="8" eb="10">
      <t>ケンタイ</t>
    </rPh>
    <rPh sb="10" eb="11">
      <t>ブン</t>
    </rPh>
    <rPh sb="12" eb="14">
      <t>ショリ</t>
    </rPh>
    <rPh sb="18" eb="19">
      <t>リョウ</t>
    </rPh>
    <rPh sb="29" eb="30">
      <t>ハイ</t>
    </rPh>
    <rPh sb="36" eb="37">
      <t>ホン</t>
    </rPh>
    <rPh sb="37" eb="38">
      <t>イ</t>
    </rPh>
    <rPh sb="40" eb="42">
      <t>ハンバイ</t>
    </rPh>
    <phoneticPr fontId="2"/>
  </si>
  <si>
    <t>100本のバイアル入りで販売されている。1検体あたり1本使用する。</t>
    <rPh sb="3" eb="4">
      <t>ホン</t>
    </rPh>
    <rPh sb="9" eb="10">
      <t>イ</t>
    </rPh>
    <rPh sb="12" eb="14">
      <t>ハンバイ</t>
    </rPh>
    <rPh sb="21" eb="23">
      <t>ケンタイ</t>
    </rPh>
    <rPh sb="27" eb="28">
      <t>ホン</t>
    </rPh>
    <rPh sb="28" eb="30">
      <t>シヨウ</t>
    </rPh>
    <phoneticPr fontId="2"/>
  </si>
  <si>
    <t>6ヶ月に一度の頻度で交換する。1プロジェクト1ヶ月として計算</t>
    <rPh sb="2" eb="3">
      <t>ゲツ</t>
    </rPh>
    <rPh sb="4" eb="6">
      <t>イチド</t>
    </rPh>
    <rPh sb="7" eb="9">
      <t>ヒンド</t>
    </rPh>
    <rPh sb="10" eb="12">
      <t>コウカン</t>
    </rPh>
    <rPh sb="24" eb="25">
      <t>ゲツ</t>
    </rPh>
    <rPh sb="28" eb="30">
      <t>ケイサン</t>
    </rPh>
    <phoneticPr fontId="2"/>
  </si>
  <si>
    <t>プロジェクトごとに行う機器のキャリブレーション用試薬。約50回使用可能。</t>
    <rPh sb="9" eb="10">
      <t>オコナ</t>
    </rPh>
    <rPh sb="11" eb="13">
      <t>キキ</t>
    </rPh>
    <rPh sb="23" eb="24">
      <t>ヨウ</t>
    </rPh>
    <rPh sb="24" eb="26">
      <t>シヤク</t>
    </rPh>
    <rPh sb="27" eb="28">
      <t>ヤク</t>
    </rPh>
    <rPh sb="30" eb="31">
      <t>カイ</t>
    </rPh>
    <rPh sb="31" eb="33">
      <t>シヨウ</t>
    </rPh>
    <rPh sb="33" eb="35">
      <t>カノウ</t>
    </rPh>
    <phoneticPr fontId="2"/>
  </si>
  <si>
    <t>プロジェクトごとに機器洗浄のために250mL（4分の1本）使用</t>
    <rPh sb="9" eb="11">
      <t>キキ</t>
    </rPh>
    <rPh sb="11" eb="13">
      <t>センジョウ</t>
    </rPh>
    <rPh sb="24" eb="25">
      <t>ブン</t>
    </rPh>
    <rPh sb="27" eb="28">
      <t>ホン</t>
    </rPh>
    <rPh sb="29" eb="31">
      <t>シヨウ</t>
    </rPh>
    <phoneticPr fontId="2"/>
  </si>
  <si>
    <t>〈TripleTOF6600解析料金内訳〉</t>
    <phoneticPr fontId="2"/>
  </si>
  <si>
    <t>〈QTRAP6500+解析料金内訳〉</t>
    <phoneticPr fontId="2"/>
  </si>
  <si>
    <t>プロジェクトごとに機器洗浄のために250mL（4分の1本）使用</t>
    <phoneticPr fontId="2"/>
  </si>
  <si>
    <t>1 project</t>
    <phoneticPr fontId="2"/>
  </si>
  <si>
    <t>アイピスピペットチップ</t>
  </si>
  <si>
    <t>マイクロチューブ</t>
  </si>
  <si>
    <t>バイアル100個入り。1検体あたり1本使用。</t>
    <rPh sb="7" eb="8">
      <t>コ</t>
    </rPh>
    <rPh sb="8" eb="9">
      <t>イ</t>
    </rPh>
    <rPh sb="12" eb="14">
      <t>ケンタイ</t>
    </rPh>
    <rPh sb="18" eb="19">
      <t>ホン</t>
    </rPh>
    <rPh sb="19" eb="21">
      <t>シヨウ</t>
    </rPh>
    <phoneticPr fontId="2"/>
  </si>
  <si>
    <t>1本あたり500gで販売されている。100検体あたり0.2g使用。プロジェクト（100検体まで）ごとに作製。</t>
    <rPh sb="1" eb="2">
      <t>ホン</t>
    </rPh>
    <rPh sb="10" eb="12">
      <t>ハンバイ</t>
    </rPh>
    <rPh sb="21" eb="23">
      <t>ケンタイ</t>
    </rPh>
    <rPh sb="30" eb="32">
      <t>シヨウ</t>
    </rPh>
    <rPh sb="43" eb="45">
      <t>ケンタイ</t>
    </rPh>
    <rPh sb="51" eb="53">
      <t>サクセイ</t>
    </rPh>
    <phoneticPr fontId="2"/>
  </si>
  <si>
    <t>100検体まで</t>
    <phoneticPr fontId="2"/>
  </si>
  <si>
    <t>50本入りで販売されている。プロジェクトごとに機器メンテナンスのために10本使用</t>
    <rPh sb="2" eb="3">
      <t>ホン</t>
    </rPh>
    <rPh sb="3" eb="4">
      <t>イ</t>
    </rPh>
    <rPh sb="6" eb="8">
      <t>ハンバイ</t>
    </rPh>
    <rPh sb="23" eb="25">
      <t>キキ</t>
    </rPh>
    <rPh sb="37" eb="38">
      <t>ホン</t>
    </rPh>
    <rPh sb="38" eb="40">
      <t>シヨウ</t>
    </rPh>
    <phoneticPr fontId="2"/>
  </si>
  <si>
    <t>1本あたり50mLで販売されている。プロジェクトごと、あるいは100解析ごとに0.5mL使用。</t>
    <rPh sb="1" eb="2">
      <t>ホン</t>
    </rPh>
    <rPh sb="10" eb="12">
      <t>ハンバイ</t>
    </rPh>
    <rPh sb="34" eb="36">
      <t>カイセキ</t>
    </rPh>
    <rPh sb="44" eb="46">
      <t>シヨウ</t>
    </rPh>
    <phoneticPr fontId="2"/>
  </si>
  <si>
    <t>1本あたり1Lで販売されている。プロジェクトごと、あるいは100解析ごとに250mL使用。</t>
    <rPh sb="32" eb="34">
      <t>カイセキ</t>
    </rPh>
    <rPh sb="42" eb="44">
      <t>シヨウ</t>
    </rPh>
    <phoneticPr fontId="2"/>
  </si>
  <si>
    <t>25本のSpin filters入りで販売されている。1検体あたり2本使用する。</t>
    <rPh sb="2" eb="3">
      <t>ホン</t>
    </rPh>
    <rPh sb="16" eb="17">
      <t>イ</t>
    </rPh>
    <rPh sb="19" eb="21">
      <t>ハンバイ</t>
    </rPh>
    <rPh sb="28" eb="30">
      <t>ケンタイ</t>
    </rPh>
    <rPh sb="34" eb="35">
      <t>ホン</t>
    </rPh>
    <rPh sb="35" eb="37">
      <t>シヨウ</t>
    </rPh>
    <phoneticPr fontId="2"/>
  </si>
  <si>
    <t>1本あたり5kgで販売されている。100検体あたり5g使用。プロジェクト（100検体まで）ごとに作製。</t>
    <rPh sb="9" eb="11">
      <t>ハンバイ</t>
    </rPh>
    <rPh sb="20" eb="22">
      <t>ケンタイ</t>
    </rPh>
    <rPh sb="27" eb="29">
      <t>シヨウ</t>
    </rPh>
    <phoneticPr fontId="2"/>
  </si>
  <si>
    <t>サンプル数</t>
  </si>
  <si>
    <t>一本あたり100検体分の処理ができる量のDTTが入っている。48本入りで販売されている。用事調製の試薬であるため1検体でも一本を使用する。</t>
  </si>
  <si>
    <t>一本あたり約20検体分の処理ができる量のLys-Cプロテアーゼが入っている。</t>
  </si>
  <si>
    <t>MonoSpin C18</t>
  </si>
  <si>
    <t>100本入りで販売されている。1検体あたり1本使うが、サンプル量によっては2本使う場合がある。</t>
  </si>
  <si>
    <t>プロジェクト数</t>
  </si>
  <si>
    <t>キャピラリーカラム</t>
  </si>
  <si>
    <t>炭酸水素アンモニウム</t>
  </si>
  <si>
    <t>2-プロパノール</t>
  </si>
  <si>
    <t>プロジェクトごとに機器洗浄のために250mL（4分の1本）使用</t>
  </si>
  <si>
    <t>合計金額</t>
  </si>
  <si>
    <t>維持・管理費</t>
  </si>
  <si>
    <t>ヨードアセトアミド</t>
  </si>
  <si>
    <t>ジチオスレイトール</t>
  </si>
  <si>
    <t>小計</t>
  </si>
  <si>
    <t>品名</t>
  </si>
  <si>
    <t>Amicon Ultra</t>
    <phoneticPr fontId="2"/>
  </si>
  <si>
    <t>Tuning Solution</t>
    <phoneticPr fontId="2"/>
  </si>
  <si>
    <t>税込価格（円）</t>
  </si>
  <si>
    <t>タンパク質定量サービス</t>
  </si>
  <si>
    <t>BCAキット(定価48,000円)によるタンパク質定量サービス。1キットで2,500アッセイできる。84検体+検量線12サンプルまで1プロジェクトとして96ウェルプレート1枚(100枚で定価48,600円)を使用。</t>
  </si>
  <si>
    <t>ここにサンプル数を入力→</t>
  </si>
  <si>
    <t>ここにプロジェクト数を入力→</t>
  </si>
  <si>
    <t>https://labchem-wako.fujifilm.com/jp/product/detail/W01W0116-1398.html</t>
  </si>
  <si>
    <t>https://www.merckmillipore.com/JP/ja/product/Amicon-Ultra-0.5mL-Centrifugal-Filters-for-DNA-and-Protein-Purification-and-Concentration,MM_NF-C82301#ordering-information</t>
  </si>
  <si>
    <t>https://labchem-wako.fujifilm.com/jp/product/detail/W01W0101-2174.html</t>
  </si>
  <si>
    <t>https://labchem-wako.fujifilm.com/jp/product/detail/W01W0121-0017.html</t>
  </si>
  <si>
    <t>https://axel.as-1.co.jp/asone/d/2-3006-04/?q=%E3%83%94%E3%83%9A%E3%83%83%E3%83%88%E3%83%81%E3%83%83%E3%83%97&amp;cfrom=A0070200</t>
  </si>
  <si>
    <t>https://watson.co.jp/pdf/catalog2020/07Tubes.pdf</t>
  </si>
  <si>
    <t>https://www.sigmaaldrich.com/JP/ja/product/sigald/t6508</t>
  </si>
  <si>
    <t>https://labchem-wako.fujifilm.com/jp/product/detail/W01W0101-0868.html</t>
  </si>
  <si>
    <t>https://labchem-wako.fujifilm.com/jp/product/detail/W01W0101-1985.html</t>
  </si>
  <si>
    <t>https://labchem-wako.fujifilm.com/jp/product/detail/W01W0121-0130.html</t>
  </si>
  <si>
    <t>https://labchem-wako.fujifilm.com/jp/product/detail/W01W0106-0453.html</t>
  </si>
  <si>
    <t>https://www.gls.co.jp/product/vials/pp_vial/02280.html</t>
  </si>
  <si>
    <t>https://www.gls.co.jp/product/spe_columns/spin_column/01119.html</t>
  </si>
  <si>
    <t>https://www.thermofisher.com/order/catalog/product/jp/ja/A39255</t>
  </si>
  <si>
    <t>https://www.thermofisher.com/order/catalog/product/jp/ja/A39271</t>
  </si>
  <si>
    <t>URL</t>
  </si>
  <si>
    <t>https://labchem-wako.fujifilm.com/jp/product/detail/W01W0113-1452.html</t>
  </si>
  <si>
    <t>https://labchem-wako.fujifilm.com/jp/product/detail/W01W0116-2553.html</t>
  </si>
  <si>
    <t>ガラス製スナップトップバイアル</t>
  </si>
  <si>
    <t>https://www.thermofisher.com/order/catalog/product/jp/ja/6ARV11-2P</t>
  </si>
  <si>
    <t>PPGs Chemical Standards Kit</t>
  </si>
  <si>
    <t>Anti-Static Foam Swab</t>
  </si>
  <si>
    <t>https://www.chem-agilent.com/contents.php?id=14890</t>
  </si>
  <si>
    <t>https://www.thermofisher.com/order/catalog/product/jp/ja/90057</t>
  </si>
  <si>
    <t>AB Sciex</t>
  </si>
  <si>
    <t>500本入り。1検体あたり5本程度使用。</t>
  </si>
  <si>
    <t>1000本入り。1検体あたり20本程度使用。</t>
  </si>
  <si>
    <t>1Lで販売されている。1検体あたり1mL使用。</t>
  </si>
  <si>
    <t>1本あたり1mL×10アンプルで販売されている。100検体あたり1mL使用。プロジェクト（100検体まで）ごとに作製。</t>
  </si>
  <si>
    <t>窒素ガス発生装置が4年に一度程度修理が必要となる。コンプレッサー1台あたり654,480円の修理費が掛かり、装置一台に２台のコンプレッサーが搭載されている。一年間の受託の測定数は少なく見積もっても500回以上であるため、4年間×500回測定で算出</t>
  </si>
  <si>
    <t>5本入りで販売されている。1プロジェクトにつき1本交換して使用する。</t>
  </si>
  <si>
    <t>*1</t>
  </si>
  <si>
    <t>*2</t>
  </si>
  <si>
    <t>*3</t>
  </si>
  <si>
    <t>*4</t>
  </si>
  <si>
    <t>*5</t>
  </si>
  <si>
    <t>*1 料金改定により値上げ</t>
  </si>
  <si>
    <t>*2 データ品質のため使用品を見直し変更により値上げ</t>
  </si>
  <si>
    <t>*3 データ品質のため使用品を見直し変更により値下げ</t>
  </si>
  <si>
    <t>*4 実質的にほぼすべてのプロジェクトに適用する必要があるため新たにサービスとして制定</t>
  </si>
  <si>
    <t>*5 周辺機器は保守契約の対象外であるため、経年劣化による故障に対応するための維持・管理費を制定</t>
  </si>
  <si>
    <t>2023年度改定</t>
  </si>
  <si>
    <t>小計（円）</t>
  </si>
  <si>
    <t>合計金額（円）</t>
  </si>
  <si>
    <t>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</si>
</sst>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Calibri"/>
      <family val="2"/>
      <charset val="128"/>
      <scheme val="minor"/>
    </font>
    <font>
      <sz val="11"/>
      <color theme="1"/>
      <name val="Calibri"/>
      <family val="2"/>
      <charset val="128"/>
      <scheme val="minor"/>
    </font>
    <font>
      <sz val="6"/>
      <name val="Calibri"/>
      <family val="2"/>
      <charset val="128"/>
      <scheme val="minor"/>
    </font>
    <font>
      <sz val="11"/>
      <name val="游ゴシック"/>
      <family val="3"/>
      <charset val="128"/>
    </font>
    <font>
      <u/>
      <sz val="11"/>
      <color theme="10"/>
      <name val="Calibri"/>
      <family val="2"/>
      <charset val="128"/>
      <scheme val="minor"/>
    </font>
    <font>
      <sz val="10.5"/>
      <color theme="1"/>
      <name val="游ゴシック"/>
      <family val="3"/>
      <charset val="128"/>
    </font>
    <font>
      <sz val="10"/>
      <color theme="1"/>
      <name val="游ゴシック"/>
      <family val="3"/>
      <charset val="128"/>
    </font>
  </fonts>
  <fills count="3">
    <fill>
      <patternFill patternType="none"/>
    </fill>
    <fill>
      <patternFill patternType="gray125"/>
    </fill>
    <fill>
      <patternFill patternType="solid">
        <fgColor rgb="FFFFFF00"/>
        <bgColor indexed="64"/>
      </patternFill>
    </fill>
  </fills>
  <borders count="30">
    <border>
      <left/>
      <right/>
      <top/>
      <bottom/>
      <diagonal/>
    </border>
    <border>
      <left/>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hair">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4" fillId="0" borderId="0" applyNumberFormat="0" applyFill="0" applyBorder="0" applyAlignment="0" applyProtection="0">
      <alignment vertical="center"/>
    </xf>
  </cellStyleXfs>
  <cellXfs count="86">
    <xf numFmtId="0" fontId="0" fillId="0" borderId="0" xfId="0">
      <alignment vertical="center"/>
    </xf>
    <xf numFmtId="0" fontId="3" fillId="0" borderId="0" xfId="0" applyFont="1" applyFill="1">
      <alignment vertical="center"/>
    </xf>
    <xf numFmtId="0" fontId="3" fillId="0" borderId="0" xfId="0" applyFont="1" applyFill="1" applyAlignment="1">
      <alignment vertical="center" wrapText="1"/>
    </xf>
    <xf numFmtId="38" fontId="3" fillId="0" borderId="1" xfId="1" applyFont="1" applyFill="1" applyBorder="1" applyAlignment="1">
      <alignment horizontal="right" vertical="center" indent="1"/>
    </xf>
    <xf numFmtId="3" fontId="3" fillId="0" borderId="1" xfId="0" applyNumberFormat="1" applyFont="1" applyFill="1" applyBorder="1" applyAlignment="1">
      <alignment horizontal="right" vertical="center" indent="1"/>
    </xf>
    <xf numFmtId="0" fontId="3" fillId="2" borderId="2" xfId="0" applyFont="1" applyFill="1" applyBorder="1" applyAlignment="1">
      <alignment horizontal="center" vertical="center"/>
    </xf>
    <xf numFmtId="3" fontId="3" fillId="2" borderId="2" xfId="0" applyNumberFormat="1" applyFont="1" applyFill="1" applyBorder="1">
      <alignment vertical="center"/>
    </xf>
    <xf numFmtId="0" fontId="3" fillId="0" borderId="1" xfId="0" applyFont="1" applyFill="1" applyBorder="1" applyAlignment="1">
      <alignment horizontal="center" vertical="center"/>
    </xf>
    <xf numFmtId="0" fontId="3" fillId="2" borderId="3" xfId="0" applyFont="1" applyFill="1" applyBorder="1" applyAlignment="1">
      <alignment horizontal="center" vertical="center"/>
    </xf>
    <xf numFmtId="38" fontId="3" fillId="0" borderId="4" xfId="1" applyFont="1" applyFill="1" applyBorder="1" applyAlignment="1">
      <alignment horizontal="right" vertical="center" indent="1"/>
    </xf>
    <xf numFmtId="3" fontId="3" fillId="0" borderId="4" xfId="0" applyNumberFormat="1" applyFont="1" applyFill="1" applyBorder="1" applyAlignment="1">
      <alignment horizontal="right" vertical="center" indent="1"/>
    </xf>
    <xf numFmtId="0" fontId="3" fillId="0" borderId="0" xfId="0" applyFont="1" applyFill="1" applyAlignment="1">
      <alignment horizontal="justify" vertical="center"/>
    </xf>
    <xf numFmtId="38" fontId="3" fillId="0" borderId="1" xfId="1" applyFont="1" applyFill="1" applyBorder="1" applyAlignment="1">
      <alignment horizontal="right" vertical="center" wrapText="1" indent="1"/>
    </xf>
    <xf numFmtId="0" fontId="3" fillId="0" borderId="1" xfId="0" applyFont="1" applyFill="1" applyBorder="1" applyAlignment="1">
      <alignment horizontal="center" vertical="center" wrapText="1"/>
    </xf>
    <xf numFmtId="38" fontId="3" fillId="0" borderId="1" xfId="0" applyNumberFormat="1" applyFont="1" applyFill="1" applyBorder="1" applyAlignment="1">
      <alignment horizontal="right" vertical="center" wrapText="1" indent="1"/>
    </xf>
    <xf numFmtId="0" fontId="3" fillId="0" borderId="0" xfId="0" applyFont="1" applyFill="1" applyBorder="1" applyAlignment="1">
      <alignment horizontal="center" vertical="center" wrapText="1"/>
    </xf>
    <xf numFmtId="0" fontId="3" fillId="0" borderId="0" xfId="0" applyFont="1" applyFill="1" applyBorder="1" applyAlignment="1">
      <alignment horizontal="left" vertical="center" wrapText="1"/>
    </xf>
    <xf numFmtId="3" fontId="3" fillId="0" borderId="0" xfId="0" applyNumberFormat="1" applyFont="1" applyFill="1" applyBorder="1" applyAlignment="1">
      <alignment horizontal="right" vertical="center" wrapText="1" indent="1"/>
    </xf>
    <xf numFmtId="3" fontId="3" fillId="2" borderId="2" xfId="0" applyNumberFormat="1" applyFont="1" applyFill="1" applyBorder="1" applyAlignment="1">
      <alignment horizontal="center" vertical="center"/>
    </xf>
    <xf numFmtId="0" fontId="3" fillId="0" borderId="0" xfId="0" applyFont="1" applyFill="1" applyAlignment="1">
      <alignment horizontal="right" vertical="center"/>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8" xfId="0" applyFont="1" applyFill="1" applyBorder="1" applyAlignment="1">
      <alignment horizontal="left" vertical="center" wrapText="1"/>
    </xf>
    <xf numFmtId="38" fontId="3" fillId="0" borderId="9" xfId="1" applyFont="1" applyFill="1" applyBorder="1" applyAlignment="1">
      <alignment horizontal="right" vertical="center" wrapText="1" indent="1"/>
    </xf>
    <xf numFmtId="0" fontId="3" fillId="0" borderId="9" xfId="0" applyFont="1" applyFill="1" applyBorder="1" applyAlignment="1">
      <alignment horizontal="center" vertical="center" wrapText="1"/>
    </xf>
    <xf numFmtId="38" fontId="3" fillId="0" borderId="9" xfId="0" applyNumberFormat="1" applyFont="1" applyFill="1" applyBorder="1" applyAlignment="1">
      <alignment horizontal="right" vertical="center" wrapText="1" indent="1"/>
    </xf>
    <xf numFmtId="0" fontId="3" fillId="0" borderId="10" xfId="0" applyFont="1" applyFill="1" applyBorder="1" applyAlignment="1">
      <alignment horizontal="left" vertical="center" wrapText="1" indent="1"/>
    </xf>
    <xf numFmtId="0" fontId="3" fillId="0" borderId="11" xfId="0" applyFont="1" applyFill="1" applyBorder="1" applyAlignment="1">
      <alignment horizontal="left" vertical="center" wrapText="1"/>
    </xf>
    <xf numFmtId="0" fontId="3" fillId="0" borderId="12" xfId="0" applyFont="1" applyFill="1" applyBorder="1" applyAlignment="1">
      <alignment horizontal="left" vertical="center" wrapText="1" indent="1"/>
    </xf>
    <xf numFmtId="0" fontId="3" fillId="0" borderId="11" xfId="0" applyFont="1" applyFill="1" applyBorder="1">
      <alignment vertical="center"/>
    </xf>
    <xf numFmtId="0" fontId="3" fillId="0" borderId="13" xfId="0" applyFont="1" applyFill="1" applyBorder="1">
      <alignment vertical="center"/>
    </xf>
    <xf numFmtId="0" fontId="3" fillId="0" borderId="14" xfId="0" applyFont="1" applyFill="1" applyBorder="1">
      <alignment vertical="center"/>
    </xf>
    <xf numFmtId="38" fontId="3" fillId="0" borderId="15" xfId="1" applyFont="1" applyFill="1" applyBorder="1" applyAlignment="1">
      <alignment horizontal="right" vertical="center" indent="1"/>
    </xf>
    <xf numFmtId="0" fontId="3" fillId="0" borderId="15" xfId="0" applyFont="1" applyFill="1" applyBorder="1" applyAlignment="1">
      <alignment horizontal="center" vertical="center" wrapText="1"/>
    </xf>
    <xf numFmtId="3" fontId="3" fillId="0" borderId="15" xfId="0" applyNumberFormat="1" applyFont="1" applyFill="1" applyBorder="1" applyAlignment="1">
      <alignment horizontal="right" vertical="center" indent="1"/>
    </xf>
    <xf numFmtId="0" fontId="3" fillId="0" borderId="16" xfId="0" applyFont="1" applyFill="1" applyBorder="1" applyAlignment="1">
      <alignment horizontal="left" vertical="center" wrapText="1" indent="1"/>
    </xf>
    <xf numFmtId="3" fontId="3" fillId="0" borderId="2" xfId="0" applyNumberFormat="1" applyFont="1" applyFill="1" applyBorder="1" applyAlignment="1">
      <alignment horizontal="center" vertical="center"/>
    </xf>
    <xf numFmtId="3" fontId="3" fillId="0" borderId="17" xfId="0" applyNumberFormat="1" applyFont="1" applyFill="1" applyBorder="1">
      <alignment vertical="center"/>
    </xf>
    <xf numFmtId="3" fontId="3" fillId="0" borderId="18" xfId="0" applyNumberFormat="1" applyFont="1" applyFill="1" applyBorder="1">
      <alignment vertical="center"/>
    </xf>
    <xf numFmtId="3" fontId="3" fillId="0" borderId="3" xfId="0" applyNumberFormat="1" applyFont="1" applyFill="1" applyBorder="1">
      <alignment vertical="center"/>
    </xf>
    <xf numFmtId="0" fontId="3" fillId="0" borderId="8" xfId="0" applyFont="1" applyFill="1" applyBorder="1">
      <alignment vertical="center"/>
    </xf>
    <xf numFmtId="38" fontId="3" fillId="0" borderId="9" xfId="1" applyFont="1" applyFill="1" applyBorder="1" applyAlignment="1">
      <alignment horizontal="right" vertical="center" indent="1"/>
    </xf>
    <xf numFmtId="0" fontId="3" fillId="0" borderId="9" xfId="0" applyFont="1" applyFill="1" applyBorder="1" applyAlignment="1">
      <alignment horizontal="center" vertical="center"/>
    </xf>
    <xf numFmtId="3" fontId="3" fillId="0" borderId="9" xfId="0" applyNumberFormat="1" applyFont="1" applyFill="1" applyBorder="1" applyAlignment="1">
      <alignment horizontal="right" vertical="center" indent="1"/>
    </xf>
    <xf numFmtId="0" fontId="4" fillId="0" borderId="0" xfId="2" applyFill="1">
      <alignment vertical="center"/>
    </xf>
    <xf numFmtId="0" fontId="3" fillId="0" borderId="0" xfId="0" applyFont="1" applyFill="1" applyAlignment="1">
      <alignment horizontal="center" vertical="center"/>
    </xf>
    <xf numFmtId="0" fontId="3" fillId="0" borderId="0" xfId="0" applyFont="1">
      <alignment vertical="center"/>
    </xf>
    <xf numFmtId="0" fontId="5" fillId="0" borderId="0" xfId="0" applyFont="1" applyAlignment="1">
      <alignment horizontal="left" vertical="center"/>
    </xf>
    <xf numFmtId="3" fontId="0" fillId="0" borderId="0" xfId="0" applyNumberFormat="1">
      <alignment vertical="center"/>
    </xf>
    <xf numFmtId="0" fontId="0" fillId="0" borderId="0" xfId="0" applyAlignment="1">
      <alignment horizontal="center" vertical="center"/>
    </xf>
    <xf numFmtId="0" fontId="3" fillId="0" borderId="0" xfId="0" applyFont="1" applyFill="1" applyAlignment="1">
      <alignment horizontal="center" vertical="center" wrapText="1"/>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9" xfId="0" applyFont="1" applyFill="1" applyBorder="1" applyAlignment="1">
      <alignment horizontal="left" vertical="center" wrapText="1" indent="1"/>
    </xf>
    <xf numFmtId="0" fontId="3" fillId="0" borderId="1" xfId="0" applyFont="1" applyFill="1" applyBorder="1" applyAlignment="1">
      <alignment horizontal="left" vertical="center" wrapText="1" indent="1"/>
    </xf>
    <xf numFmtId="0" fontId="3" fillId="0" borderId="4" xfId="0" applyFont="1" applyFill="1" applyBorder="1" applyAlignment="1">
      <alignment horizontal="left" vertical="center" wrapText="1" indent="1"/>
    </xf>
    <xf numFmtId="0" fontId="3" fillId="0" borderId="15" xfId="0" applyFont="1" applyFill="1" applyBorder="1" applyAlignment="1">
      <alignment horizontal="left" vertical="center" wrapText="1" indent="1"/>
    </xf>
    <xf numFmtId="0" fontId="3" fillId="0" borderId="8"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14" xfId="0" applyFont="1" applyFill="1" applyBorder="1" applyAlignment="1">
      <alignment horizontal="center" vertical="center" wrapText="1"/>
    </xf>
    <xf numFmtId="3" fontId="3" fillId="0" borderId="17" xfId="0" applyNumberFormat="1" applyFont="1" applyFill="1" applyBorder="1" applyAlignment="1">
      <alignment horizontal="center" vertical="center"/>
    </xf>
    <xf numFmtId="3" fontId="3" fillId="0" borderId="22" xfId="0" applyNumberFormat="1" applyFont="1" applyFill="1" applyBorder="1">
      <alignment vertical="center"/>
    </xf>
    <xf numFmtId="3" fontId="3" fillId="0" borderId="23" xfId="0" applyNumberFormat="1" applyFont="1" applyFill="1" applyBorder="1">
      <alignment vertical="center"/>
    </xf>
    <xf numFmtId="3" fontId="3" fillId="0" borderId="24" xfId="0" applyNumberFormat="1" applyFont="1" applyFill="1" applyBorder="1">
      <alignment vertical="center"/>
    </xf>
    <xf numFmtId="0" fontId="6" fillId="0" borderId="2" xfId="0" applyFont="1" applyBorder="1" applyAlignment="1">
      <alignment horizontal="center" vertical="center"/>
    </xf>
    <xf numFmtId="0" fontId="6" fillId="0" borderId="0" xfId="0" applyFont="1" applyAlignment="1">
      <alignment horizontal="center" vertical="center"/>
    </xf>
    <xf numFmtId="0" fontId="6" fillId="0" borderId="5" xfId="0" applyFont="1" applyBorder="1" applyAlignment="1">
      <alignment horizontal="center" vertical="center"/>
    </xf>
    <xf numFmtId="3" fontId="6" fillId="0" borderId="6" xfId="0" applyNumberFormat="1" applyFont="1" applyBorder="1" applyAlignment="1">
      <alignment horizontal="center" vertical="center"/>
    </xf>
    <xf numFmtId="3" fontId="6" fillId="0" borderId="7" xfId="0" applyNumberFormat="1" applyFont="1" applyBorder="1" applyAlignment="1">
      <alignment horizontal="center" vertical="center"/>
    </xf>
    <xf numFmtId="0" fontId="6" fillId="0" borderId="0" xfId="0" applyFont="1">
      <alignment vertical="center"/>
    </xf>
    <xf numFmtId="0" fontId="6" fillId="0" borderId="25" xfId="0" applyFont="1" applyBorder="1">
      <alignment vertical="center"/>
    </xf>
    <xf numFmtId="3" fontId="6" fillId="0" borderId="26" xfId="0" applyNumberFormat="1" applyFont="1" applyBorder="1">
      <alignment vertical="center"/>
    </xf>
    <xf numFmtId="3" fontId="6" fillId="0" borderId="26" xfId="0" applyNumberFormat="1" applyFont="1" applyBorder="1" applyAlignment="1">
      <alignment horizontal="center" vertical="center"/>
    </xf>
    <xf numFmtId="3" fontId="6" fillId="0" borderId="19" xfId="0" applyNumberFormat="1" applyFont="1" applyBorder="1">
      <alignment vertical="center"/>
    </xf>
    <xf numFmtId="0" fontId="6" fillId="0" borderId="27" xfId="0" applyFont="1" applyBorder="1">
      <alignment vertical="center"/>
    </xf>
    <xf numFmtId="3" fontId="6" fillId="0" borderId="0" xfId="0" applyNumberFormat="1" applyFont="1" applyBorder="1">
      <alignment vertical="center"/>
    </xf>
    <xf numFmtId="3" fontId="6" fillId="0" borderId="0" xfId="0" applyNumberFormat="1" applyFont="1" applyBorder="1" applyAlignment="1">
      <alignment horizontal="center" vertical="center"/>
    </xf>
    <xf numFmtId="3" fontId="6" fillId="0" borderId="20" xfId="0" applyNumberFormat="1" applyFont="1" applyBorder="1">
      <alignment vertical="center"/>
    </xf>
    <xf numFmtId="0" fontId="6" fillId="0" borderId="28" xfId="0" applyFont="1" applyBorder="1">
      <alignment vertical="center"/>
    </xf>
    <xf numFmtId="3" fontId="6" fillId="0" borderId="29" xfId="0" applyNumberFormat="1" applyFont="1" applyBorder="1">
      <alignment vertical="center"/>
    </xf>
    <xf numFmtId="3" fontId="6" fillId="0" borderId="29" xfId="0" applyNumberFormat="1" applyFont="1" applyBorder="1" applyAlignment="1">
      <alignment horizontal="center" vertical="center"/>
    </xf>
    <xf numFmtId="3" fontId="6" fillId="0" borderId="21" xfId="0" applyNumberFormat="1" applyFont="1" applyBorder="1">
      <alignment vertical="center"/>
    </xf>
    <xf numFmtId="3" fontId="6" fillId="0" borderId="6" xfId="0" applyNumberFormat="1" applyFont="1" applyBorder="1">
      <alignment vertical="center"/>
    </xf>
    <xf numFmtId="3" fontId="6" fillId="0" borderId="7" xfId="0" applyNumberFormat="1" applyFont="1" applyBorder="1" applyAlignment="1">
      <alignment horizontal="right" vertical="center"/>
    </xf>
  </cellXfs>
  <cellStyles count="3">
    <cellStyle name="ハイパーリンク" xfId="2" builtinId="8"/>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labchem-wako.fujifilm.com/jp/product/detail/W01W0121-0130.html" TargetMode="External"/><Relationship Id="rId13" Type="http://schemas.openxmlformats.org/officeDocument/2006/relationships/hyperlink" Target="https://www.gls.co.jp/product/spe_columns/spin_column/01119.html" TargetMode="External"/><Relationship Id="rId18" Type="http://schemas.openxmlformats.org/officeDocument/2006/relationships/hyperlink" Target="https://labchem-wako.fujifilm.com/jp/product/detail/W01W0101-1985.html" TargetMode="External"/><Relationship Id="rId3" Type="http://schemas.openxmlformats.org/officeDocument/2006/relationships/hyperlink" Target="https://www.sigmaaldrich.com/JP/ja/product/sigald/t6508" TargetMode="External"/><Relationship Id="rId21" Type="http://schemas.openxmlformats.org/officeDocument/2006/relationships/hyperlink" Target="https://www.thermofisher.com/order/catalog/product/jp/ja/6ARV11-2P" TargetMode="External"/><Relationship Id="rId7" Type="http://schemas.openxmlformats.org/officeDocument/2006/relationships/hyperlink" Target="https://labchem-wako.fujifilm.com/jp/product/detail/W01W0101-1985.html" TargetMode="External"/><Relationship Id="rId12" Type="http://schemas.openxmlformats.org/officeDocument/2006/relationships/hyperlink" Target="https://www.merckmillipore.com/JP/ja/product/Amicon-Ultra-0.5mL-Centrifugal-Filters-for-DNA-and-Protein-Purification-and-Concentration,MM_NF-C82301" TargetMode="External"/><Relationship Id="rId17" Type="http://schemas.openxmlformats.org/officeDocument/2006/relationships/hyperlink" Target="https://labchem-wako.fujifilm.com/jp/product/detail/W01W0121-0130.html" TargetMode="External"/><Relationship Id="rId2" Type="http://schemas.openxmlformats.org/officeDocument/2006/relationships/hyperlink" Target="https://axel.as-1.co.jp/asone/d/2-3006-04/?q=%E3%83%94%E3%83%9A%E3%83%83%E3%83%88%E3%83%81%E3%83%83%E3%83%97&amp;cfrom=A0070200" TargetMode="External"/><Relationship Id="rId16" Type="http://schemas.openxmlformats.org/officeDocument/2006/relationships/hyperlink" Target="https://www.thermofisher.com/order/catalog/product/jp/ja/A39271" TargetMode="External"/><Relationship Id="rId20" Type="http://schemas.openxmlformats.org/officeDocument/2006/relationships/hyperlink" Target="https://labchem-wako.fujifilm.com/jp/product/detail/W01W0116-2553.html" TargetMode="External"/><Relationship Id="rId1" Type="http://schemas.openxmlformats.org/officeDocument/2006/relationships/hyperlink" Target="https://watson.co.jp/pdf/catalog2020/07Tubes.pdf" TargetMode="External"/><Relationship Id="rId6" Type="http://schemas.openxmlformats.org/officeDocument/2006/relationships/hyperlink" Target="https://labchem-wako.fujifilm.com/jp/product/detail/W01W0101-0868.html" TargetMode="External"/><Relationship Id="rId11" Type="http://schemas.openxmlformats.org/officeDocument/2006/relationships/hyperlink" Target="https://www.gls.co.jp/product/vials/pp_vial/02280.html" TargetMode="External"/><Relationship Id="rId24" Type="http://schemas.openxmlformats.org/officeDocument/2006/relationships/printerSettings" Target="../printerSettings/printerSettings1.bin"/><Relationship Id="rId5" Type="http://schemas.openxmlformats.org/officeDocument/2006/relationships/hyperlink" Target="https://labchem-wako.fujifilm.com/jp/product/detail/W01W0101-2174.html" TargetMode="External"/><Relationship Id="rId15" Type="http://schemas.openxmlformats.org/officeDocument/2006/relationships/hyperlink" Target="https://www.thermofisher.com/order/catalog/product/jp/ja/A39255" TargetMode="External"/><Relationship Id="rId23" Type="http://schemas.openxmlformats.org/officeDocument/2006/relationships/hyperlink" Target="https://www.thermofisher.com/order/catalog/product/jp/ja/90057" TargetMode="External"/><Relationship Id="rId10" Type="http://schemas.openxmlformats.org/officeDocument/2006/relationships/hyperlink" Target="https://www.gls.co.jp/product/vials/pp_vial/02280.html" TargetMode="External"/><Relationship Id="rId19" Type="http://schemas.openxmlformats.org/officeDocument/2006/relationships/hyperlink" Target="https://labchem-wako.fujifilm.com/jp/product/detail/W01W0113-1452.html" TargetMode="External"/><Relationship Id="rId4" Type="http://schemas.openxmlformats.org/officeDocument/2006/relationships/hyperlink" Target="https://labchem-wako.fujifilm.com/jp/product/detail/W01W0121-0017.html" TargetMode="External"/><Relationship Id="rId9" Type="http://schemas.openxmlformats.org/officeDocument/2006/relationships/hyperlink" Target="https://labchem-wako.fujifilm.com/jp/product/detail/W01W0106-0453.html" TargetMode="External"/><Relationship Id="rId14" Type="http://schemas.openxmlformats.org/officeDocument/2006/relationships/hyperlink" Target="https://labchem-wako.fujifilm.com/jp/product/detail/W01W0116-1398.html" TargetMode="External"/><Relationship Id="rId22" Type="http://schemas.openxmlformats.org/officeDocument/2006/relationships/hyperlink" Target="https://www.chem-agilent.com/contents.php?id=1489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J57"/>
  <sheetViews>
    <sheetView tabSelected="1" zoomScale="70" zoomScaleNormal="70" workbookViewId="0">
      <selection activeCell="B1" sqref="B1"/>
    </sheetView>
  </sheetViews>
  <sheetFormatPr defaultColWidth="9" defaultRowHeight="18.75"/>
  <cols>
    <col min="1" max="1" width="5.140625" style="1" customWidth="1"/>
    <col min="2" max="2" width="33.28515625" style="1" bestFit="1" customWidth="1"/>
    <col min="3" max="3" width="15.85546875" style="1" customWidth="1"/>
    <col min="4" max="4" width="22.7109375" style="1" customWidth="1"/>
    <col min="5" max="5" width="11.7109375" style="1" customWidth="1"/>
    <col min="6" max="6" width="70.42578125" style="2" customWidth="1"/>
    <col min="7" max="7" width="21.28515625" style="51" customWidth="1"/>
    <col min="8" max="8" width="16" style="1" customWidth="1"/>
    <col min="9" max="9" width="12.42578125" style="1" bestFit="1" customWidth="1"/>
    <col min="10" max="10" width="10.140625" style="1" bestFit="1" customWidth="1"/>
    <col min="11" max="16384" width="9" style="1"/>
  </cols>
  <sheetData>
    <row r="1" spans="2:10">
      <c r="B1" s="1" t="s">
        <v>19</v>
      </c>
    </row>
    <row r="2" spans="2:10" ht="37.5">
      <c r="B2" s="11" t="s">
        <v>32</v>
      </c>
      <c r="C2" s="11"/>
      <c r="D2" s="11"/>
      <c r="E2" s="11"/>
    </row>
    <row r="3" spans="2:10" ht="37.5">
      <c r="B3" s="20" t="s">
        <v>61</v>
      </c>
      <c r="C3" s="21" t="s">
        <v>64</v>
      </c>
      <c r="D3" s="21" t="s">
        <v>0</v>
      </c>
      <c r="E3" s="21" t="s">
        <v>1</v>
      </c>
      <c r="F3" s="22" t="s">
        <v>20</v>
      </c>
      <c r="G3" s="52" t="s">
        <v>113</v>
      </c>
      <c r="H3" s="62" t="s">
        <v>111</v>
      </c>
      <c r="I3" s="46" t="s">
        <v>84</v>
      </c>
      <c r="J3" s="1" t="s">
        <v>110</v>
      </c>
    </row>
    <row r="4" spans="2:10" ht="43.5" customHeight="1">
      <c r="B4" s="23" t="s">
        <v>58</v>
      </c>
      <c r="C4" s="24">
        <f>46100*1.1</f>
        <v>50710.000000000007</v>
      </c>
      <c r="D4" s="25" t="s">
        <v>2</v>
      </c>
      <c r="E4" s="26">
        <f>C4/30</f>
        <v>1690.3333333333335</v>
      </c>
      <c r="F4" s="55" t="s">
        <v>25</v>
      </c>
      <c r="G4" s="59">
        <f>$H$29</f>
        <v>1</v>
      </c>
      <c r="H4" s="63">
        <f>ROUND(E4,0)*G4</f>
        <v>1690</v>
      </c>
      <c r="I4" s="45" t="s">
        <v>83</v>
      </c>
      <c r="J4" s="47" t="s">
        <v>100</v>
      </c>
    </row>
    <row r="5" spans="2:10" ht="43.5" customHeight="1">
      <c r="B5" s="28" t="s">
        <v>59</v>
      </c>
      <c r="C5" s="12">
        <f>39200*1.1</f>
        <v>43120</v>
      </c>
      <c r="D5" s="13" t="s">
        <v>40</v>
      </c>
      <c r="E5" s="14">
        <f>C5/48</f>
        <v>898.33333333333337</v>
      </c>
      <c r="F5" s="56" t="s">
        <v>47</v>
      </c>
      <c r="G5" s="60">
        <f>$H$29</f>
        <v>1</v>
      </c>
      <c r="H5" s="64">
        <f t="shared" ref="H5:H26" si="0">ROUND(E5,0)*G5</f>
        <v>898</v>
      </c>
      <c r="I5" s="45" t="s">
        <v>82</v>
      </c>
      <c r="J5" s="47" t="s">
        <v>100</v>
      </c>
    </row>
    <row r="6" spans="2:10" ht="43.5" customHeight="1">
      <c r="B6" s="28" t="s">
        <v>3</v>
      </c>
      <c r="C6" s="12">
        <f>23100*1.1</f>
        <v>25410.000000000004</v>
      </c>
      <c r="D6" s="13" t="s">
        <v>4</v>
      </c>
      <c r="E6" s="14">
        <f>C6/10/15</f>
        <v>169.40000000000003</v>
      </c>
      <c r="F6" s="56" t="s">
        <v>26</v>
      </c>
      <c r="G6" s="60">
        <f>$H$31</f>
        <v>10</v>
      </c>
      <c r="H6" s="64">
        <f t="shared" si="0"/>
        <v>1690</v>
      </c>
      <c r="I6" s="1" t="s">
        <v>93</v>
      </c>
      <c r="J6" s="47" t="s">
        <v>100</v>
      </c>
    </row>
    <row r="7" spans="2:10" ht="43.5" customHeight="1">
      <c r="B7" s="28" t="s">
        <v>5</v>
      </c>
      <c r="C7" s="12">
        <v>61900</v>
      </c>
      <c r="D7" s="13" t="s">
        <v>4</v>
      </c>
      <c r="E7" s="14">
        <f>C7/20</f>
        <v>3095</v>
      </c>
      <c r="F7" s="56" t="s">
        <v>48</v>
      </c>
      <c r="G7" s="60"/>
      <c r="H7" s="64">
        <f t="shared" si="0"/>
        <v>0</v>
      </c>
      <c r="I7" s="45" t="s">
        <v>92</v>
      </c>
      <c r="J7" s="47" t="s">
        <v>100</v>
      </c>
    </row>
    <row r="8" spans="2:10" ht="43.5" customHeight="1">
      <c r="B8" s="28" t="s">
        <v>6</v>
      </c>
      <c r="C8" s="12">
        <v>16200</v>
      </c>
      <c r="D8" s="13" t="s">
        <v>4</v>
      </c>
      <c r="E8" s="14">
        <f>C8/5/10</f>
        <v>324</v>
      </c>
      <c r="F8" s="56" t="s">
        <v>27</v>
      </c>
      <c r="G8" s="60"/>
      <c r="H8" s="64">
        <f t="shared" si="0"/>
        <v>0</v>
      </c>
      <c r="I8" s="45" t="s">
        <v>69</v>
      </c>
      <c r="J8" s="47" t="s">
        <v>100</v>
      </c>
    </row>
    <row r="9" spans="2:10" ht="43.5" customHeight="1">
      <c r="B9" s="28" t="s">
        <v>49</v>
      </c>
      <c r="C9" s="12">
        <f>46000*1.1</f>
        <v>50600.000000000007</v>
      </c>
      <c r="D9" s="13" t="s">
        <v>4</v>
      </c>
      <c r="E9" s="14">
        <f>C9/100</f>
        <v>506.00000000000006</v>
      </c>
      <c r="F9" s="56" t="s">
        <v>50</v>
      </c>
      <c r="G9" s="60">
        <f t="shared" ref="G8:G13" si="1">$H$31</f>
        <v>10</v>
      </c>
      <c r="H9" s="64">
        <f t="shared" si="0"/>
        <v>5060</v>
      </c>
      <c r="I9" s="45" t="s">
        <v>81</v>
      </c>
      <c r="J9" s="47" t="s">
        <v>101</v>
      </c>
    </row>
    <row r="10" spans="2:10" ht="43.5" customHeight="1">
      <c r="B10" s="28" t="s">
        <v>62</v>
      </c>
      <c r="C10" s="12">
        <f>60200*1.1</f>
        <v>66220</v>
      </c>
      <c r="D10" s="13" t="s">
        <v>4</v>
      </c>
      <c r="E10" s="14">
        <f>C10/96</f>
        <v>689.79166666666663</v>
      </c>
      <c r="F10" s="56" t="s">
        <v>21</v>
      </c>
      <c r="G10" s="60"/>
      <c r="H10" s="64">
        <f t="shared" si="0"/>
        <v>0</v>
      </c>
      <c r="I10" s="45" t="s">
        <v>70</v>
      </c>
      <c r="J10" s="47" t="s">
        <v>100</v>
      </c>
    </row>
    <row r="11" spans="2:10" ht="43.5" customHeight="1">
      <c r="B11" s="28" t="s">
        <v>7</v>
      </c>
      <c r="C11" s="12">
        <f>9600*1.1</f>
        <v>10560</v>
      </c>
      <c r="D11" s="13" t="s">
        <v>4</v>
      </c>
      <c r="E11" s="14">
        <f>C11/25*2</f>
        <v>844.8</v>
      </c>
      <c r="F11" s="56" t="s">
        <v>44</v>
      </c>
      <c r="G11" s="60"/>
      <c r="H11" s="64">
        <f t="shared" si="0"/>
        <v>0</v>
      </c>
      <c r="I11" s="45" t="s">
        <v>91</v>
      </c>
      <c r="J11" s="47" t="s">
        <v>100</v>
      </c>
    </row>
    <row r="12" spans="2:10" ht="43.5" customHeight="1">
      <c r="B12" s="28" t="s">
        <v>9</v>
      </c>
      <c r="C12" s="12">
        <f>21000*1.1</f>
        <v>23100.000000000004</v>
      </c>
      <c r="D12" s="13" t="s">
        <v>4</v>
      </c>
      <c r="E12" s="14">
        <f>C12/100</f>
        <v>231.00000000000003</v>
      </c>
      <c r="F12" s="56" t="s">
        <v>28</v>
      </c>
      <c r="G12" s="60">
        <f t="shared" si="1"/>
        <v>10</v>
      </c>
      <c r="H12" s="64">
        <f t="shared" si="0"/>
        <v>2310</v>
      </c>
      <c r="I12" s="45" t="s">
        <v>80</v>
      </c>
      <c r="J12" s="47" t="s">
        <v>101</v>
      </c>
    </row>
    <row r="13" spans="2:10" ht="43.5" customHeight="1">
      <c r="B13" s="28" t="s">
        <v>52</v>
      </c>
      <c r="C13" s="12">
        <f>66000*1.1</f>
        <v>72600</v>
      </c>
      <c r="D13" s="13" t="s">
        <v>8</v>
      </c>
      <c r="E13" s="14">
        <f>C13/5</f>
        <v>14520</v>
      </c>
      <c r="F13" s="56" t="s">
        <v>99</v>
      </c>
      <c r="G13" s="60">
        <f>$H$29</f>
        <v>1</v>
      </c>
      <c r="H13" s="64">
        <f t="shared" si="0"/>
        <v>14520</v>
      </c>
      <c r="I13" s="45" t="s">
        <v>80</v>
      </c>
      <c r="J13" s="47" t="s">
        <v>102</v>
      </c>
    </row>
    <row r="14" spans="2:10" ht="43.5" customHeight="1">
      <c r="B14" s="28" t="s">
        <v>63</v>
      </c>
      <c r="C14" s="12">
        <f>49800*1.1</f>
        <v>54780.000000000007</v>
      </c>
      <c r="D14" s="13" t="s">
        <v>8</v>
      </c>
      <c r="E14" s="14">
        <f>C14/100</f>
        <v>547.80000000000007</v>
      </c>
      <c r="F14" s="56" t="s">
        <v>22</v>
      </c>
      <c r="G14" s="60">
        <f>$H$29</f>
        <v>1</v>
      </c>
      <c r="H14" s="64">
        <f t="shared" si="0"/>
        <v>548</v>
      </c>
      <c r="I14" s="1" t="s">
        <v>93</v>
      </c>
      <c r="J14" s="47" t="s">
        <v>101</v>
      </c>
    </row>
    <row r="15" spans="2:10" ht="43.5" customHeight="1">
      <c r="B15" s="28" t="s">
        <v>23</v>
      </c>
      <c r="C15" s="12">
        <f>18700*1.1</f>
        <v>20570</v>
      </c>
      <c r="D15" s="13" t="s">
        <v>35</v>
      </c>
      <c r="E15" s="14">
        <f>C15/60</f>
        <v>342.83333333333331</v>
      </c>
      <c r="F15" s="56" t="s">
        <v>24</v>
      </c>
      <c r="G15" s="60">
        <f t="shared" ref="G14:G22" si="2">$H$29</f>
        <v>1</v>
      </c>
      <c r="H15" s="64">
        <f t="shared" si="0"/>
        <v>343</v>
      </c>
      <c r="I15" s="1" t="s">
        <v>93</v>
      </c>
      <c r="J15" s="47" t="s">
        <v>100</v>
      </c>
    </row>
    <row r="16" spans="2:10" ht="43.5" customHeight="1">
      <c r="B16" s="30" t="s">
        <v>10</v>
      </c>
      <c r="C16" s="3">
        <f>10800*1.1</f>
        <v>11880.000000000002</v>
      </c>
      <c r="D16" s="13" t="s">
        <v>35</v>
      </c>
      <c r="E16" s="4">
        <f>C16/50*0.5</f>
        <v>118.80000000000001</v>
      </c>
      <c r="F16" s="56" t="s">
        <v>42</v>
      </c>
      <c r="G16" s="60">
        <f t="shared" si="2"/>
        <v>1</v>
      </c>
      <c r="H16" s="64">
        <f t="shared" si="0"/>
        <v>119</v>
      </c>
      <c r="I16" s="45" t="s">
        <v>79</v>
      </c>
      <c r="J16" s="47" t="s">
        <v>100</v>
      </c>
    </row>
    <row r="17" spans="2:10" ht="43.5" customHeight="1">
      <c r="B17" s="30" t="s">
        <v>11</v>
      </c>
      <c r="C17" s="3">
        <f>2400*1.1</f>
        <v>2640</v>
      </c>
      <c r="D17" s="13" t="s">
        <v>35</v>
      </c>
      <c r="E17" s="4">
        <f>C17/1000*250</f>
        <v>660</v>
      </c>
      <c r="F17" s="56" t="s">
        <v>43</v>
      </c>
      <c r="G17" s="60">
        <f t="shared" si="2"/>
        <v>1</v>
      </c>
      <c r="H17" s="64">
        <f t="shared" si="0"/>
        <v>660</v>
      </c>
      <c r="I17" s="45" t="s">
        <v>78</v>
      </c>
      <c r="J17" s="47" t="s">
        <v>100</v>
      </c>
    </row>
    <row r="18" spans="2:10" ht="43.5" customHeight="1">
      <c r="B18" s="30" t="s">
        <v>12</v>
      </c>
      <c r="C18" s="3">
        <f>8300*1.1</f>
        <v>9130</v>
      </c>
      <c r="D18" s="13" t="s">
        <v>35</v>
      </c>
      <c r="E18" s="4">
        <f>C18/1000*250</f>
        <v>2282.5</v>
      </c>
      <c r="F18" s="56" t="s">
        <v>43</v>
      </c>
      <c r="G18" s="60">
        <f t="shared" si="2"/>
        <v>1</v>
      </c>
      <c r="H18" s="64">
        <f t="shared" si="0"/>
        <v>2283</v>
      </c>
      <c r="I18" s="45" t="s">
        <v>77</v>
      </c>
      <c r="J18" s="47" t="s">
        <v>100</v>
      </c>
    </row>
    <row r="19" spans="2:10" ht="43.5" customHeight="1">
      <c r="B19" s="30" t="s">
        <v>13</v>
      </c>
      <c r="C19" s="3">
        <f>3000*1.1</f>
        <v>3300.0000000000005</v>
      </c>
      <c r="D19" s="13" t="s">
        <v>35</v>
      </c>
      <c r="E19" s="4">
        <f>C19/1000*1</f>
        <v>3.3000000000000003</v>
      </c>
      <c r="F19" s="56" t="s">
        <v>96</v>
      </c>
      <c r="G19" s="60">
        <f t="shared" si="2"/>
        <v>1</v>
      </c>
      <c r="H19" s="64">
        <f t="shared" si="0"/>
        <v>3</v>
      </c>
      <c r="I19" s="45" t="s">
        <v>76</v>
      </c>
      <c r="J19" s="47" t="s">
        <v>100</v>
      </c>
    </row>
    <row r="20" spans="2:10" ht="43.5" customHeight="1">
      <c r="B20" s="30" t="s">
        <v>53</v>
      </c>
      <c r="C20" s="3">
        <f>6000*1.1</f>
        <v>6600.0000000000009</v>
      </c>
      <c r="D20" s="13" t="s">
        <v>35</v>
      </c>
      <c r="E20" s="4">
        <f>C20/500*0.2</f>
        <v>2.6400000000000006</v>
      </c>
      <c r="F20" s="56" t="s">
        <v>39</v>
      </c>
      <c r="G20" s="60">
        <f t="shared" si="2"/>
        <v>1</v>
      </c>
      <c r="H20" s="64">
        <f t="shared" si="0"/>
        <v>3</v>
      </c>
      <c r="I20" s="45" t="s">
        <v>71</v>
      </c>
      <c r="J20" s="47" t="s">
        <v>100</v>
      </c>
    </row>
    <row r="21" spans="2:10" ht="43.5" customHeight="1">
      <c r="B21" s="30" t="s">
        <v>14</v>
      </c>
      <c r="C21" s="3">
        <f>8700*1.1</f>
        <v>9570</v>
      </c>
      <c r="D21" s="13" t="s">
        <v>35</v>
      </c>
      <c r="E21" s="4">
        <f>C21/5000*5</f>
        <v>9.57</v>
      </c>
      <c r="F21" s="56" t="s">
        <v>45</v>
      </c>
      <c r="G21" s="60">
        <f t="shared" si="2"/>
        <v>1</v>
      </c>
      <c r="H21" s="64">
        <f t="shared" si="0"/>
        <v>10</v>
      </c>
      <c r="I21" s="45" t="s">
        <v>72</v>
      </c>
      <c r="J21" s="47" t="s">
        <v>100</v>
      </c>
    </row>
    <row r="22" spans="2:10" ht="43.5" customHeight="1">
      <c r="B22" s="30" t="s">
        <v>15</v>
      </c>
      <c r="C22" s="3">
        <f>14700*1.1</f>
        <v>16170.000000000002</v>
      </c>
      <c r="D22" s="13" t="s">
        <v>35</v>
      </c>
      <c r="E22" s="4">
        <f>C22/10</f>
        <v>1617.0000000000002</v>
      </c>
      <c r="F22" s="56" t="s">
        <v>97</v>
      </c>
      <c r="G22" s="60">
        <f t="shared" si="2"/>
        <v>1</v>
      </c>
      <c r="H22" s="64">
        <f t="shared" si="0"/>
        <v>1617</v>
      </c>
      <c r="I22" s="45" t="s">
        <v>75</v>
      </c>
      <c r="J22" s="47" t="s">
        <v>100</v>
      </c>
    </row>
    <row r="23" spans="2:10" ht="43.5" customHeight="1">
      <c r="B23" s="30" t="s">
        <v>36</v>
      </c>
      <c r="C23" s="3">
        <f>2600*1.1</f>
        <v>2860.0000000000005</v>
      </c>
      <c r="D23" s="13" t="s">
        <v>4</v>
      </c>
      <c r="E23" s="4">
        <f>C23/1000*20</f>
        <v>57.2</v>
      </c>
      <c r="F23" s="56" t="s">
        <v>95</v>
      </c>
      <c r="G23" s="60">
        <f t="shared" ref="G23:G24" si="3">$H$31</f>
        <v>10</v>
      </c>
      <c r="H23" s="64">
        <f t="shared" si="0"/>
        <v>570</v>
      </c>
      <c r="I23" s="45" t="s">
        <v>73</v>
      </c>
      <c r="J23" s="47" t="s">
        <v>100</v>
      </c>
    </row>
    <row r="24" spans="2:10" ht="43.5" customHeight="1">
      <c r="B24" s="30" t="s">
        <v>37</v>
      </c>
      <c r="C24" s="3">
        <f>10000*1.1</f>
        <v>11000</v>
      </c>
      <c r="D24" s="13" t="s">
        <v>4</v>
      </c>
      <c r="E24" s="4">
        <f>C24/500*5</f>
        <v>110</v>
      </c>
      <c r="F24" s="56" t="s">
        <v>94</v>
      </c>
      <c r="G24" s="60">
        <f t="shared" si="3"/>
        <v>10</v>
      </c>
      <c r="H24" s="64">
        <f t="shared" si="0"/>
        <v>1100</v>
      </c>
      <c r="I24" s="45" t="s">
        <v>74</v>
      </c>
      <c r="J24" s="47" t="s">
        <v>101</v>
      </c>
    </row>
    <row r="25" spans="2:10" ht="58.5" customHeight="1">
      <c r="B25" s="31" t="s">
        <v>65</v>
      </c>
      <c r="C25" s="9">
        <f>(48000*1.1)+(48600*1.1)</f>
        <v>106260.00000000001</v>
      </c>
      <c r="D25" s="13" t="s">
        <v>35</v>
      </c>
      <c r="E25" s="10">
        <f>(48000*1.1/2500)+(48600*1.1/100)</f>
        <v>555.72</v>
      </c>
      <c r="F25" s="57" t="s">
        <v>66</v>
      </c>
      <c r="G25" s="60">
        <f t="shared" ref="G25" si="4">$H$29</f>
        <v>1</v>
      </c>
      <c r="H25" s="64">
        <f t="shared" si="0"/>
        <v>556</v>
      </c>
      <c r="J25" s="47" t="s">
        <v>103</v>
      </c>
    </row>
    <row r="26" spans="2:10" ht="78.75" customHeight="1">
      <c r="B26" s="32" t="s">
        <v>57</v>
      </c>
      <c r="C26" s="33"/>
      <c r="D26" s="34" t="s">
        <v>4</v>
      </c>
      <c r="E26" s="35">
        <f>654480*2/4/500</f>
        <v>654.48</v>
      </c>
      <c r="F26" s="58" t="s">
        <v>98</v>
      </c>
      <c r="G26" s="61">
        <f t="shared" ref="G26" si="5">$H$31</f>
        <v>10</v>
      </c>
      <c r="H26" s="65">
        <f t="shared" si="0"/>
        <v>6540</v>
      </c>
      <c r="J26" s="47" t="s">
        <v>104</v>
      </c>
    </row>
    <row r="27" spans="2:10">
      <c r="B27" s="15"/>
      <c r="C27" s="15"/>
      <c r="D27" s="16"/>
      <c r="E27" s="17"/>
      <c r="F27" s="15"/>
      <c r="G27" s="15"/>
    </row>
    <row r="28" spans="2:10">
      <c r="B28" s="15"/>
      <c r="C28" s="15"/>
      <c r="D28" s="16"/>
      <c r="E28" s="17"/>
      <c r="F28" s="15"/>
      <c r="G28" s="15"/>
      <c r="H28" s="5" t="s">
        <v>51</v>
      </c>
    </row>
    <row r="29" spans="2:10">
      <c r="B29" s="15"/>
      <c r="C29" s="15"/>
      <c r="D29" s="16"/>
      <c r="E29" s="17"/>
      <c r="F29" s="19" t="s">
        <v>68</v>
      </c>
      <c r="G29" s="46"/>
      <c r="H29" s="8">
        <v>1</v>
      </c>
    </row>
    <row r="30" spans="2:10">
      <c r="B30" s="15"/>
      <c r="C30" s="15"/>
      <c r="D30" s="16"/>
      <c r="E30" s="17"/>
      <c r="F30" s="1"/>
      <c r="G30" s="46"/>
      <c r="H30" s="5" t="s">
        <v>46</v>
      </c>
    </row>
    <row r="31" spans="2:10">
      <c r="F31" s="19" t="s">
        <v>67</v>
      </c>
      <c r="G31" s="46"/>
      <c r="H31" s="8">
        <v>10</v>
      </c>
    </row>
    <row r="32" spans="2:10">
      <c r="F32" s="1"/>
      <c r="G32" s="46"/>
      <c r="H32" s="18" t="s">
        <v>112</v>
      </c>
    </row>
    <row r="33" spans="2:10">
      <c r="F33" s="1"/>
      <c r="G33" s="46"/>
      <c r="H33" s="6">
        <f>SUM($H$4:$H$26)</f>
        <v>40520</v>
      </c>
    </row>
    <row r="34" spans="2:10">
      <c r="B34" s="11" t="s">
        <v>33</v>
      </c>
    </row>
    <row r="35" spans="2:10" ht="37.5">
      <c r="B35" s="20" t="s">
        <v>61</v>
      </c>
      <c r="C35" s="21" t="s">
        <v>17</v>
      </c>
      <c r="D35" s="21" t="s">
        <v>0</v>
      </c>
      <c r="E35" s="21" t="s">
        <v>1</v>
      </c>
      <c r="F35" s="22" t="s">
        <v>20</v>
      </c>
      <c r="G35" s="22"/>
      <c r="H35" s="37" t="s">
        <v>60</v>
      </c>
      <c r="I35" s="46" t="s">
        <v>84</v>
      </c>
    </row>
    <row r="36" spans="2:10">
      <c r="B36" s="41" t="s">
        <v>11</v>
      </c>
      <c r="C36" s="42">
        <v>2400</v>
      </c>
      <c r="D36" s="43" t="s">
        <v>35</v>
      </c>
      <c r="E36" s="44">
        <f>C36/4</f>
        <v>600</v>
      </c>
      <c r="F36" s="27" t="s">
        <v>34</v>
      </c>
      <c r="G36" s="52"/>
      <c r="H36" s="38">
        <f>ROUND(E36,0)*$H$47</f>
        <v>600</v>
      </c>
      <c r="I36" s="45" t="s">
        <v>78</v>
      </c>
      <c r="J36" s="47" t="s">
        <v>100</v>
      </c>
    </row>
    <row r="37" spans="2:10">
      <c r="B37" s="30" t="s">
        <v>12</v>
      </c>
      <c r="C37" s="3">
        <v>8300</v>
      </c>
      <c r="D37" s="7" t="s">
        <v>35</v>
      </c>
      <c r="E37" s="4">
        <f>C37/4</f>
        <v>2075</v>
      </c>
      <c r="F37" s="29" t="s">
        <v>34</v>
      </c>
      <c r="G37" s="53"/>
      <c r="H37" s="39">
        <f>ROUND(E37,0)*$H$47</f>
        <v>2075</v>
      </c>
      <c r="I37" s="45" t="s">
        <v>77</v>
      </c>
      <c r="J37" s="47" t="s">
        <v>100</v>
      </c>
    </row>
    <row r="38" spans="2:10">
      <c r="B38" s="30" t="s">
        <v>16</v>
      </c>
      <c r="C38" s="3">
        <f>19600*1.1</f>
        <v>21560</v>
      </c>
      <c r="D38" s="13" t="s">
        <v>8</v>
      </c>
      <c r="E38" s="4">
        <f>C38/6</f>
        <v>3593.3333333333335</v>
      </c>
      <c r="F38" s="29" t="s">
        <v>29</v>
      </c>
      <c r="G38" s="53"/>
      <c r="H38" s="39">
        <f>ROUND(E38,0)*$H$47</f>
        <v>3593</v>
      </c>
      <c r="I38" s="1" t="s">
        <v>93</v>
      </c>
      <c r="J38" s="47" t="s">
        <v>100</v>
      </c>
    </row>
    <row r="39" spans="2:10" ht="37.5">
      <c r="B39" s="30" t="s">
        <v>89</v>
      </c>
      <c r="C39" s="3">
        <f>70000*1.1</f>
        <v>77000</v>
      </c>
      <c r="D39" s="13" t="s">
        <v>8</v>
      </c>
      <c r="E39" s="4">
        <f>C39/50</f>
        <v>1540</v>
      </c>
      <c r="F39" s="29" t="s">
        <v>30</v>
      </c>
      <c r="G39" s="53"/>
      <c r="H39" s="39">
        <f>ROUND(E39,0)*$H$47</f>
        <v>1540</v>
      </c>
      <c r="I39" s="1" t="s">
        <v>93</v>
      </c>
      <c r="J39" s="47" t="s">
        <v>100</v>
      </c>
    </row>
    <row r="40" spans="2:10">
      <c r="B40" s="30" t="s">
        <v>87</v>
      </c>
      <c r="C40" s="3">
        <f>3800*1.1</f>
        <v>4180</v>
      </c>
      <c r="D40" s="13" t="s">
        <v>4</v>
      </c>
      <c r="E40" s="4">
        <f>C40/100</f>
        <v>41.8</v>
      </c>
      <c r="F40" s="29" t="s">
        <v>38</v>
      </c>
      <c r="G40" s="53"/>
      <c r="H40" s="39">
        <f>ROUND(E40,0)*$H$49</f>
        <v>4200</v>
      </c>
      <c r="I40" s="45" t="s">
        <v>88</v>
      </c>
      <c r="J40" s="47" t="s">
        <v>102</v>
      </c>
    </row>
    <row r="41" spans="2:10" ht="37.5">
      <c r="B41" s="30" t="s">
        <v>90</v>
      </c>
      <c r="C41" s="3">
        <f>14800*1.1</f>
        <v>16280.000000000002</v>
      </c>
      <c r="D41" s="13" t="s">
        <v>8</v>
      </c>
      <c r="E41" s="4">
        <f>C41/50*10</f>
        <v>3256</v>
      </c>
      <c r="F41" s="29" t="s">
        <v>41</v>
      </c>
      <c r="G41" s="53"/>
      <c r="H41" s="39">
        <f>ROUND(E41,0)*$H$47</f>
        <v>3256</v>
      </c>
      <c r="I41" s="1" t="s">
        <v>93</v>
      </c>
      <c r="J41" s="47"/>
    </row>
    <row r="42" spans="2:10" ht="37.5">
      <c r="B42" s="30" t="s">
        <v>90</v>
      </c>
      <c r="C42" s="3">
        <f>14600*1.1</f>
        <v>16060.000000000002</v>
      </c>
      <c r="D42" s="13" t="s">
        <v>8</v>
      </c>
      <c r="E42" s="4">
        <f>C42/50*10</f>
        <v>3212.0000000000005</v>
      </c>
      <c r="F42" s="29" t="s">
        <v>41</v>
      </c>
      <c r="G42" s="53"/>
      <c r="H42" s="39">
        <f>ROUND(E42,0)*$H$47</f>
        <v>3212</v>
      </c>
      <c r="I42" s="1" t="s">
        <v>93</v>
      </c>
      <c r="J42" s="47"/>
    </row>
    <row r="43" spans="2:10">
      <c r="B43" s="30" t="s">
        <v>18</v>
      </c>
      <c r="C43" s="3">
        <v>2100</v>
      </c>
      <c r="D43" s="13" t="s">
        <v>35</v>
      </c>
      <c r="E43" s="4">
        <f>C43/4</f>
        <v>525</v>
      </c>
      <c r="F43" s="29" t="s">
        <v>31</v>
      </c>
      <c r="G43" s="53"/>
      <c r="H43" s="39">
        <f>ROUND(E43,0)*$H$47</f>
        <v>525</v>
      </c>
      <c r="I43" s="45" t="s">
        <v>85</v>
      </c>
      <c r="J43" s="47" t="s">
        <v>100</v>
      </c>
    </row>
    <row r="44" spans="2:10">
      <c r="B44" s="32" t="s">
        <v>54</v>
      </c>
      <c r="C44" s="33">
        <v>4600</v>
      </c>
      <c r="D44" s="34" t="s">
        <v>8</v>
      </c>
      <c r="E44" s="35">
        <f>C44/4</f>
        <v>1150</v>
      </c>
      <c r="F44" s="36" t="s">
        <v>55</v>
      </c>
      <c r="G44" s="54"/>
      <c r="H44" s="40">
        <f>ROUND(E44,0)*$H$47</f>
        <v>1150</v>
      </c>
      <c r="I44" s="45" t="s">
        <v>86</v>
      </c>
      <c r="J44" s="47" t="s">
        <v>100</v>
      </c>
    </row>
    <row r="46" spans="2:10">
      <c r="H46" s="5" t="s">
        <v>51</v>
      </c>
    </row>
    <row r="47" spans="2:10">
      <c r="F47" s="19" t="s">
        <v>68</v>
      </c>
      <c r="G47" s="46"/>
      <c r="H47" s="8">
        <v>1</v>
      </c>
    </row>
    <row r="48" spans="2:10">
      <c r="F48" s="1"/>
      <c r="G48" s="46"/>
      <c r="H48" s="5" t="s">
        <v>46</v>
      </c>
    </row>
    <row r="49" spans="2:8">
      <c r="F49" s="19" t="s">
        <v>67</v>
      </c>
      <c r="G49" s="46"/>
      <c r="H49" s="8">
        <v>100</v>
      </c>
    </row>
    <row r="50" spans="2:8">
      <c r="H50" s="18" t="s">
        <v>56</v>
      </c>
    </row>
    <row r="51" spans="2:8">
      <c r="H51" s="6">
        <f>SUM($H$36:$H$44)</f>
        <v>20151</v>
      </c>
    </row>
    <row r="53" spans="2:8">
      <c r="B53" s="48" t="s">
        <v>105</v>
      </c>
    </row>
    <row r="54" spans="2:8">
      <c r="B54" s="48" t="s">
        <v>106</v>
      </c>
    </row>
    <row r="55" spans="2:8">
      <c r="B55" s="48" t="s">
        <v>107</v>
      </c>
    </row>
    <row r="56" spans="2:8">
      <c r="B56" s="1" t="s">
        <v>108</v>
      </c>
    </row>
    <row r="57" spans="2:8">
      <c r="B57" s="1" t="s">
        <v>109</v>
      </c>
    </row>
  </sheetData>
  <phoneticPr fontId="2"/>
  <hyperlinks>
    <hyperlink ref="I24" r:id="rId1" xr:uid="{76EDD03A-6D1D-4C3C-B6E9-DD02317C1388}"/>
    <hyperlink ref="I23" r:id="rId2" xr:uid="{D979EB6F-544A-4C84-95C1-BD171C3ED02C}"/>
    <hyperlink ref="I22" r:id="rId3" xr:uid="{FFAA8373-9318-4F1A-AD96-78D25D31C649}"/>
    <hyperlink ref="I21" r:id="rId4" xr:uid="{C5D0D3BD-A636-4B7F-8E8B-5E125E8B1168}"/>
    <hyperlink ref="I20" r:id="rId5" xr:uid="{BE160036-F9B5-4696-89C6-286493D6E806}"/>
    <hyperlink ref="I19" r:id="rId6" xr:uid="{4C72027E-C6A7-43A1-8252-88AFBC9C8AAE}"/>
    <hyperlink ref="I18" r:id="rId7" xr:uid="{AD4A02AD-1C99-4682-A214-CF5228131731}"/>
    <hyperlink ref="I17" r:id="rId8" xr:uid="{82B7E1C3-583B-4734-B62D-4FE73A1144F5}"/>
    <hyperlink ref="I16" r:id="rId9" xr:uid="{4CE3A4BC-53FB-4E4A-8025-E7742BD55747}"/>
    <hyperlink ref="I13" r:id="rId10" xr:uid="{28C04CCC-DC4C-4590-A68A-D4DB140EA33A}"/>
    <hyperlink ref="I12" r:id="rId11" xr:uid="{12D7512A-EDCF-453E-83ED-A0A53EC156D4}"/>
    <hyperlink ref="I10" r:id="rId12" location="ordering-information" xr:uid="{29E393CD-0252-475B-9688-93994E91B187}"/>
    <hyperlink ref="I9" r:id="rId13" xr:uid="{76C8ED3C-1E94-461C-B284-995ABC8964A7}"/>
    <hyperlink ref="I8" r:id="rId14" xr:uid="{9F2922EB-D998-419E-B788-8494B780DA21}"/>
    <hyperlink ref="I5" r:id="rId15" xr:uid="{FCE7E460-3EC1-40E8-8D1D-33F5CE857B75}"/>
    <hyperlink ref="I4" r:id="rId16" xr:uid="{FE423F35-9ECB-48AE-9E51-49B09E2181AB}"/>
    <hyperlink ref="I36" r:id="rId17" xr:uid="{AAE69F07-1067-4BB8-ACE4-580703624C8A}"/>
    <hyperlink ref="I37" r:id="rId18" xr:uid="{510D3361-C932-4CC7-8CCA-2EA7F8208F5C}"/>
    <hyperlink ref="I43" r:id="rId19" xr:uid="{6D6E60EE-2715-4F7A-8BD0-7D38EC32C76F}"/>
    <hyperlink ref="I44" r:id="rId20" xr:uid="{52C7CE77-DCC2-467A-B2BC-B1D65981CF62}"/>
    <hyperlink ref="I40" r:id="rId21" xr:uid="{50C8BB24-E1D7-452E-92EC-284BE2776A51}"/>
    <hyperlink ref="I11" r:id="rId22" xr:uid="{A08F9217-CC0D-49E1-82CA-4AF39A9FD226}"/>
    <hyperlink ref="I7" r:id="rId23" xr:uid="{EEFE447F-FC05-4642-8BB9-BB272F4959C6}"/>
  </hyperlinks>
  <pageMargins left="0.70866141732283472" right="0.70866141732283472" top="0.74803149606299213" bottom="0.74803149606299213" header="0.31496062992125984" footer="0.31496062992125984"/>
  <pageSetup paperSize="9" scale="41" orientation="portrait" r:id="rId24"/>
  <headerFooter>
    <oddHeader xml:space="preserve">&amp;R&amp;9H31.2.00　資料１-5
共通機器センター管理運営小委員会&amp;11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33627F-F64C-47F6-BEA4-7AEC00432765}">
  <dimension ref="B2:G26"/>
  <sheetViews>
    <sheetView showGridLines="0" workbookViewId="0"/>
  </sheetViews>
  <sheetFormatPr defaultRowHeight="15"/>
  <cols>
    <col min="2" max="2" width="14" style="50" bestFit="1" customWidth="1"/>
    <col min="3" max="3" width="4.28515625" customWidth="1"/>
    <col min="4" max="4" width="21.85546875" bestFit="1" customWidth="1"/>
    <col min="5" max="5" width="10.28515625" style="49" bestFit="1" customWidth="1"/>
    <col min="6" max="6" width="8.7109375" style="49" customWidth="1"/>
    <col min="7" max="7" width="10.28515625" bestFit="1" customWidth="1"/>
  </cols>
  <sheetData>
    <row r="2" spans="2:7" ht="16.5">
      <c r="B2" s="66" t="str">
        <f>新!H28</f>
        <v>プロジェクト数</v>
      </c>
      <c r="C2" s="67"/>
      <c r="D2" s="68" t="str">
        <f>新!B3</f>
        <v>品名</v>
      </c>
      <c r="E2" s="69" t="str">
        <f>新!E3</f>
        <v>単価（円）</v>
      </c>
      <c r="F2" s="69" t="str">
        <f>新!G3</f>
        <v>数</v>
      </c>
      <c r="G2" s="70" t="str">
        <f>新!H3</f>
        <v>小計（円）</v>
      </c>
    </row>
    <row r="3" spans="2:7" ht="16.5">
      <c r="B3" s="66">
        <f>新!H29</f>
        <v>1</v>
      </c>
      <c r="C3" s="71"/>
      <c r="D3" s="72" t="str">
        <f>新!B4</f>
        <v>ヨードアセトアミド</v>
      </c>
      <c r="E3" s="73">
        <f>新!E4</f>
        <v>1690.3333333333335</v>
      </c>
      <c r="F3" s="74">
        <f>新!G4</f>
        <v>1</v>
      </c>
      <c r="G3" s="75">
        <f>新!H4</f>
        <v>1690</v>
      </c>
    </row>
    <row r="4" spans="2:7" ht="16.5">
      <c r="B4" s="66" t="str">
        <f>新!H30</f>
        <v>サンプル数</v>
      </c>
      <c r="C4" s="71"/>
      <c r="D4" s="76" t="str">
        <f>新!B5</f>
        <v>ジチオスレイトール</v>
      </c>
      <c r="E4" s="77">
        <f>新!E5</f>
        <v>898.33333333333337</v>
      </c>
      <c r="F4" s="78">
        <f>新!G5</f>
        <v>1</v>
      </c>
      <c r="G4" s="79">
        <f>新!H5</f>
        <v>898</v>
      </c>
    </row>
    <row r="5" spans="2:7" ht="16.5">
      <c r="B5" s="66">
        <f>新!H31</f>
        <v>10</v>
      </c>
      <c r="C5" s="71"/>
      <c r="D5" s="76" t="str">
        <f>新!B6</f>
        <v>Trypsin</v>
      </c>
      <c r="E5" s="77">
        <f>新!E6</f>
        <v>169.40000000000003</v>
      </c>
      <c r="F5" s="78">
        <f>新!G6</f>
        <v>10</v>
      </c>
      <c r="G5" s="79">
        <f>新!H6</f>
        <v>1690</v>
      </c>
    </row>
    <row r="6" spans="2:7" ht="16.5">
      <c r="B6" s="67"/>
      <c r="C6" s="71"/>
      <c r="D6" s="76" t="str">
        <f>新!B7</f>
        <v>Lys-C</v>
      </c>
      <c r="E6" s="77">
        <f>新!E7</f>
        <v>3095</v>
      </c>
      <c r="F6" s="78">
        <f>新!G7</f>
        <v>0</v>
      </c>
      <c r="G6" s="79">
        <f>新!H7</f>
        <v>0</v>
      </c>
    </row>
    <row r="7" spans="2:7" ht="16.5">
      <c r="B7" s="67"/>
      <c r="C7" s="71"/>
      <c r="D7" s="76" t="str">
        <f>新!B8</f>
        <v>V8プロテーゼ</v>
      </c>
      <c r="E7" s="77">
        <f>新!E8</f>
        <v>324</v>
      </c>
      <c r="F7" s="78">
        <f>新!G8</f>
        <v>0</v>
      </c>
      <c r="G7" s="79">
        <f>新!H8</f>
        <v>0</v>
      </c>
    </row>
    <row r="8" spans="2:7" ht="16.5">
      <c r="B8" s="67"/>
      <c r="C8" s="71"/>
      <c r="D8" s="76" t="str">
        <f>新!B9</f>
        <v>MonoSpin C18</v>
      </c>
      <c r="E8" s="77">
        <f>新!E9</f>
        <v>506.00000000000006</v>
      </c>
      <c r="F8" s="78">
        <f>新!G9</f>
        <v>10</v>
      </c>
      <c r="G8" s="79">
        <f>新!H9</f>
        <v>5060</v>
      </c>
    </row>
    <row r="9" spans="2:7" ht="16.5">
      <c r="B9" s="67"/>
      <c r="C9" s="71"/>
      <c r="D9" s="76" t="str">
        <f>新!B10</f>
        <v>Amicon Ultra</v>
      </c>
      <c r="E9" s="77">
        <f>新!E10</f>
        <v>689.79166666666663</v>
      </c>
      <c r="F9" s="78">
        <f>新!G10</f>
        <v>0</v>
      </c>
      <c r="G9" s="79">
        <f>新!H10</f>
        <v>0</v>
      </c>
    </row>
    <row r="10" spans="2:7" ht="16.5">
      <c r="B10" s="67"/>
      <c r="C10" s="71"/>
      <c r="D10" s="76" t="str">
        <f>新!B11</f>
        <v>Spin Filters</v>
      </c>
      <c r="E10" s="77">
        <f>新!E11</f>
        <v>844.8</v>
      </c>
      <c r="F10" s="78">
        <f>新!G11</f>
        <v>0</v>
      </c>
      <c r="G10" s="79">
        <f>新!H11</f>
        <v>0</v>
      </c>
    </row>
    <row r="11" spans="2:7" ht="16.5">
      <c r="B11" s="67"/>
      <c r="C11" s="71"/>
      <c r="D11" s="76" t="str">
        <f>新!B12</f>
        <v>バイアル</v>
      </c>
      <c r="E11" s="77">
        <f>新!E12</f>
        <v>231.00000000000003</v>
      </c>
      <c r="F11" s="78">
        <f>新!G12</f>
        <v>10</v>
      </c>
      <c r="G11" s="79">
        <f>新!H12</f>
        <v>2310</v>
      </c>
    </row>
    <row r="12" spans="2:7" ht="16.5">
      <c r="B12" s="67"/>
      <c r="C12" s="71"/>
      <c r="D12" s="76" t="str">
        <f>新!B13</f>
        <v>キャピラリーカラム</v>
      </c>
      <c r="E12" s="77">
        <f>新!E13</f>
        <v>14520</v>
      </c>
      <c r="F12" s="78">
        <f>新!G13</f>
        <v>1</v>
      </c>
      <c r="G12" s="79">
        <f>新!H13</f>
        <v>14520</v>
      </c>
    </row>
    <row r="13" spans="2:7" ht="16.5">
      <c r="B13" s="67"/>
      <c r="C13" s="71"/>
      <c r="D13" s="76" t="str">
        <f>新!B14</f>
        <v>Tuning Solution</v>
      </c>
      <c r="E13" s="77">
        <f>新!E14</f>
        <v>547.80000000000007</v>
      </c>
      <c r="F13" s="78">
        <f>新!G14</f>
        <v>1</v>
      </c>
      <c r="G13" s="79">
        <f>新!H14</f>
        <v>548</v>
      </c>
    </row>
    <row r="14" spans="2:7" ht="16.5">
      <c r="B14" s="67"/>
      <c r="C14" s="71"/>
      <c r="D14" s="76" t="str">
        <f>新!B15</f>
        <v>β-ガラクトシダーゼ</v>
      </c>
      <c r="E14" s="77">
        <f>新!E15</f>
        <v>342.83333333333331</v>
      </c>
      <c r="F14" s="78">
        <f>新!G15</f>
        <v>1</v>
      </c>
      <c r="G14" s="79">
        <f>新!H15</f>
        <v>343</v>
      </c>
    </row>
    <row r="15" spans="2:7" ht="16.5">
      <c r="B15" s="67"/>
      <c r="C15" s="71"/>
      <c r="D15" s="76" t="str">
        <f>新!B16</f>
        <v>ギ酸</v>
      </c>
      <c r="E15" s="77">
        <f>新!E16</f>
        <v>118.80000000000001</v>
      </c>
      <c r="F15" s="78">
        <f>新!G16</f>
        <v>1</v>
      </c>
      <c r="G15" s="79">
        <f>新!H16</f>
        <v>119</v>
      </c>
    </row>
    <row r="16" spans="2:7" ht="16.5">
      <c r="B16" s="67"/>
      <c r="C16" s="71"/>
      <c r="D16" s="76" t="str">
        <f>新!B17</f>
        <v>超純水</v>
      </c>
      <c r="E16" s="77">
        <f>新!E17</f>
        <v>660</v>
      </c>
      <c r="F16" s="78">
        <f>新!G17</f>
        <v>1</v>
      </c>
      <c r="G16" s="79">
        <f>新!H17</f>
        <v>660</v>
      </c>
    </row>
    <row r="17" spans="2:7" ht="16.5">
      <c r="B17" s="67"/>
      <c r="C17" s="71"/>
      <c r="D17" s="76" t="str">
        <f>新!B18</f>
        <v>アセトニトリル</v>
      </c>
      <c r="E17" s="77">
        <f>新!E18</f>
        <v>2282.5</v>
      </c>
      <c r="F17" s="78">
        <f>新!G18</f>
        <v>1</v>
      </c>
      <c r="G17" s="79">
        <f>新!H18</f>
        <v>2283</v>
      </c>
    </row>
    <row r="18" spans="2:7" ht="16.5">
      <c r="B18" s="67"/>
      <c r="C18" s="71"/>
      <c r="D18" s="76" t="str">
        <f>新!B19</f>
        <v>アセトン</v>
      </c>
      <c r="E18" s="77">
        <f>新!E19</f>
        <v>3.3000000000000003</v>
      </c>
      <c r="F18" s="78">
        <f>新!G19</f>
        <v>1</v>
      </c>
      <c r="G18" s="79">
        <f>新!H19</f>
        <v>3</v>
      </c>
    </row>
    <row r="19" spans="2:7" ht="16.5">
      <c r="B19" s="67"/>
      <c r="C19" s="71"/>
      <c r="D19" s="76" t="str">
        <f>新!B20</f>
        <v>炭酸水素アンモニウム</v>
      </c>
      <c r="E19" s="77">
        <f>新!E20</f>
        <v>2.6400000000000006</v>
      </c>
      <c r="F19" s="78">
        <f>新!G20</f>
        <v>1</v>
      </c>
      <c r="G19" s="79">
        <f>新!H20</f>
        <v>3</v>
      </c>
    </row>
    <row r="20" spans="2:7" ht="16.5">
      <c r="B20" s="67"/>
      <c r="C20" s="71"/>
      <c r="D20" s="76" t="str">
        <f>新!B21</f>
        <v>尿素</v>
      </c>
      <c r="E20" s="77">
        <f>新!E21</f>
        <v>9.57</v>
      </c>
      <c r="F20" s="78">
        <f>新!G21</f>
        <v>1</v>
      </c>
      <c r="G20" s="79">
        <f>新!H21</f>
        <v>10</v>
      </c>
    </row>
    <row r="21" spans="2:7" ht="16.5">
      <c r="B21" s="67"/>
      <c r="C21" s="71"/>
      <c r="D21" s="76" t="str">
        <f>新!B22</f>
        <v>トリフルオロ酢酸</v>
      </c>
      <c r="E21" s="77">
        <f>新!E22</f>
        <v>1617.0000000000002</v>
      </c>
      <c r="F21" s="78">
        <f>新!G22</f>
        <v>1</v>
      </c>
      <c r="G21" s="79">
        <f>新!H22</f>
        <v>1617</v>
      </c>
    </row>
    <row r="22" spans="2:7" ht="16.5">
      <c r="B22" s="67"/>
      <c r="C22" s="71"/>
      <c r="D22" s="76" t="str">
        <f>新!B23</f>
        <v>アイピスピペットチップ</v>
      </c>
      <c r="E22" s="77">
        <f>新!E23</f>
        <v>57.2</v>
      </c>
      <c r="F22" s="78">
        <f>新!G23</f>
        <v>10</v>
      </c>
      <c r="G22" s="79">
        <f>新!H23</f>
        <v>570</v>
      </c>
    </row>
    <row r="23" spans="2:7" ht="16.5">
      <c r="B23" s="67"/>
      <c r="C23" s="71"/>
      <c r="D23" s="76" t="str">
        <f>新!B24</f>
        <v>マイクロチューブ</v>
      </c>
      <c r="E23" s="77">
        <f>新!E24</f>
        <v>110</v>
      </c>
      <c r="F23" s="78">
        <f>新!G24</f>
        <v>10</v>
      </c>
      <c r="G23" s="79">
        <f>新!H24</f>
        <v>1100</v>
      </c>
    </row>
    <row r="24" spans="2:7" ht="16.5">
      <c r="B24" s="67"/>
      <c r="C24" s="71"/>
      <c r="D24" s="76" t="str">
        <f>新!B25</f>
        <v>タンパク質定量サービス</v>
      </c>
      <c r="E24" s="77">
        <f>新!E25</f>
        <v>555.72</v>
      </c>
      <c r="F24" s="78">
        <f>新!G25</f>
        <v>1</v>
      </c>
      <c r="G24" s="79">
        <f>新!H25</f>
        <v>556</v>
      </c>
    </row>
    <row r="25" spans="2:7" ht="16.5">
      <c r="B25" s="67"/>
      <c r="C25" s="71"/>
      <c r="D25" s="80" t="str">
        <f>新!B26</f>
        <v>維持・管理費</v>
      </c>
      <c r="E25" s="81">
        <f>新!E26</f>
        <v>654.48</v>
      </c>
      <c r="F25" s="82">
        <f>新!G26</f>
        <v>10</v>
      </c>
      <c r="G25" s="83">
        <f>新!H26</f>
        <v>6540</v>
      </c>
    </row>
    <row r="26" spans="2:7" ht="16.5">
      <c r="B26" s="67"/>
      <c r="C26" s="71"/>
      <c r="D26" s="68" t="str">
        <f>新!H32</f>
        <v>合計金額（円）</v>
      </c>
      <c r="E26" s="84"/>
      <c r="F26" s="84"/>
      <c r="G26" s="85">
        <f>新!H33</f>
        <v>40520</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新</vt:lpstr>
      <vt:lpstr>Sheet1</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弘前大学医学研究科研究支援・会計担当</dc:creator>
  <cp:lastModifiedBy>多田羅　洋太</cp:lastModifiedBy>
  <cp:lastPrinted>2019-01-31T02:35:58Z</cp:lastPrinted>
  <dcterms:created xsi:type="dcterms:W3CDTF">2019-01-10T06:44:57Z</dcterms:created>
  <dcterms:modified xsi:type="dcterms:W3CDTF">2023-10-18T02:40:02Z</dcterms:modified>
</cp:coreProperties>
</file>